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/>
  <mc:AlternateContent xmlns:mc="http://schemas.openxmlformats.org/markup-compatibility/2006">
    <mc:Choice Requires="x15">
      <x15ac:absPath xmlns:x15ac="http://schemas.microsoft.com/office/spreadsheetml/2010/11/ac" url="C:\Users\Doug Beattie\Documents\Zinc\Modules\"/>
    </mc:Choice>
  </mc:AlternateContent>
  <bookViews>
    <workbookView xWindow="0" yWindow="0" windowWidth="25125" windowHeight="12210" tabRatio="838"/>
  </bookViews>
  <sheets>
    <sheet name="Disclaimer" sheetId="18" r:id="rId1"/>
    <sheet name="Summary" sheetId="10" r:id="rId2"/>
    <sheet name="Closed or Closing In 7 Years" sheetId="15" r:id="rId3"/>
    <sheet name="Mines on Standby" sheetId="17" r:id="rId4"/>
    <sheet name="Expansions and Re-starts" sheetId="14" r:id="rId5"/>
    <sheet name="Construction and Ramp Ups" sheetId="13" r:id="rId6"/>
    <sheet name="Canada" sheetId="1" r:id="rId7"/>
    <sheet name="USA" sheetId="2" r:id="rId8"/>
    <sheet name="India" sheetId="3" r:id="rId9"/>
    <sheet name="Australia" sheetId="4" r:id="rId10"/>
    <sheet name="Peru" sheetId="5" r:id="rId11"/>
    <sheet name="Europe" sheetId="6" r:id="rId12"/>
    <sheet name="Mexico" sheetId="7" r:id="rId13"/>
    <sheet name="Africa" sheetId="8" r:id="rId14"/>
    <sheet name="Kazahkstan" sheetId="11" r:id="rId15"/>
    <sheet name="S and C America" sheetId="12" r:id="rId16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1" i="15" l="1"/>
  <c r="O21" i="15"/>
  <c r="N21" i="15"/>
  <c r="M21" i="15"/>
  <c r="L21" i="15"/>
  <c r="K21" i="15"/>
  <c r="J21" i="15"/>
  <c r="I21" i="15"/>
  <c r="H21" i="15"/>
  <c r="G21" i="15"/>
  <c r="F21" i="15"/>
  <c r="P20" i="15"/>
  <c r="O20" i="15"/>
  <c r="N20" i="15"/>
  <c r="M20" i="15"/>
  <c r="L20" i="15"/>
  <c r="K20" i="15"/>
  <c r="J20" i="15"/>
  <c r="I20" i="15"/>
  <c r="H20" i="15"/>
  <c r="G20" i="15"/>
  <c r="F20" i="15"/>
  <c r="P15" i="14"/>
  <c r="O15" i="14"/>
  <c r="N15" i="14"/>
  <c r="M15" i="14"/>
  <c r="L15" i="14"/>
  <c r="K15" i="14"/>
  <c r="J15" i="14"/>
  <c r="I15" i="14"/>
  <c r="H15" i="14"/>
  <c r="G15" i="14"/>
  <c r="F15" i="14"/>
  <c r="P14" i="14"/>
  <c r="O14" i="14"/>
  <c r="N14" i="14"/>
  <c r="M14" i="14"/>
  <c r="L14" i="14"/>
  <c r="K14" i="14"/>
  <c r="J14" i="14"/>
  <c r="I14" i="14"/>
  <c r="H14" i="14"/>
  <c r="G14" i="14"/>
  <c r="F14" i="14"/>
  <c r="P13" i="14"/>
  <c r="O13" i="14"/>
  <c r="N13" i="14"/>
  <c r="M13" i="14"/>
  <c r="L13" i="14"/>
  <c r="K13" i="14"/>
  <c r="J13" i="14"/>
  <c r="I13" i="14"/>
  <c r="H13" i="14"/>
  <c r="G13" i="14"/>
  <c r="F13" i="14"/>
  <c r="L12" i="14" l="1"/>
  <c r="M12" i="14" s="1"/>
  <c r="N12" i="14" s="1"/>
  <c r="O12" i="14" s="1"/>
  <c r="P12" i="14" s="1"/>
  <c r="K12" i="14"/>
  <c r="J12" i="14"/>
  <c r="I12" i="14"/>
  <c r="H12" i="14"/>
  <c r="G12" i="14"/>
  <c r="F12" i="14"/>
  <c r="P11" i="14"/>
  <c r="M11" i="14"/>
  <c r="N11" i="14" s="1"/>
  <c r="O11" i="14" s="1"/>
  <c r="L11" i="14"/>
  <c r="K11" i="14"/>
  <c r="I11" i="14"/>
  <c r="H11" i="14"/>
  <c r="G11" i="14"/>
  <c r="P19" i="15"/>
  <c r="M19" i="15"/>
  <c r="N19" i="15" s="1"/>
  <c r="O19" i="15" s="1"/>
  <c r="L19" i="15"/>
  <c r="K19" i="15"/>
  <c r="I19" i="15"/>
  <c r="H19" i="15"/>
  <c r="G19" i="15"/>
  <c r="P71" i="4"/>
  <c r="O71" i="4"/>
  <c r="N71" i="4"/>
  <c r="M71" i="4"/>
  <c r="L71" i="4"/>
  <c r="K71" i="4"/>
  <c r="J38" i="4"/>
  <c r="J35" i="4" s="1"/>
  <c r="J71" i="4" s="1"/>
  <c r="I38" i="4"/>
  <c r="H38" i="4"/>
  <c r="G38" i="4"/>
  <c r="F38" i="4"/>
  <c r="I37" i="4"/>
  <c r="H37" i="4"/>
  <c r="G37" i="4"/>
  <c r="H36" i="4"/>
  <c r="G36" i="4"/>
  <c r="F36" i="4"/>
  <c r="I35" i="4"/>
  <c r="I71" i="4" s="1"/>
  <c r="H35" i="4"/>
  <c r="G35" i="4"/>
  <c r="F35" i="4"/>
  <c r="P10" i="4"/>
  <c r="P37" i="4" s="1"/>
  <c r="M10" i="4"/>
  <c r="N10" i="4" s="1"/>
  <c r="L10" i="4"/>
  <c r="L37" i="4" s="1"/>
  <c r="K10" i="4"/>
  <c r="K37" i="4" s="1"/>
  <c r="I10" i="4"/>
  <c r="H10" i="4"/>
  <c r="G10" i="4"/>
  <c r="J8" i="4"/>
  <c r="I8" i="4"/>
  <c r="H8" i="4"/>
  <c r="G8" i="4"/>
  <c r="F8" i="4"/>
  <c r="L11" i="4"/>
  <c r="L38" i="4" s="1"/>
  <c r="K11" i="4"/>
  <c r="K38" i="4" s="1"/>
  <c r="J11" i="4"/>
  <c r="I11" i="4"/>
  <c r="H11" i="4"/>
  <c r="G11" i="4"/>
  <c r="F11" i="4"/>
  <c r="H9" i="4"/>
  <c r="G9" i="4"/>
  <c r="F9" i="4"/>
  <c r="P17" i="14"/>
  <c r="O17" i="14"/>
  <c r="N17" i="14"/>
  <c r="M17" i="14"/>
  <c r="L17" i="14"/>
  <c r="K17" i="14"/>
  <c r="J17" i="14"/>
  <c r="I17" i="14"/>
  <c r="H17" i="14"/>
  <c r="G17" i="14"/>
  <c r="F17" i="14"/>
  <c r="P16" i="14"/>
  <c r="O16" i="14"/>
  <c r="N16" i="14"/>
  <c r="M16" i="14"/>
  <c r="L16" i="14"/>
  <c r="K16" i="14"/>
  <c r="J16" i="14"/>
  <c r="I16" i="14"/>
  <c r="H16" i="14"/>
  <c r="G16" i="14"/>
  <c r="F16" i="14"/>
  <c r="P10" i="14"/>
  <c r="O10" i="14"/>
  <c r="N10" i="14"/>
  <c r="M10" i="14"/>
  <c r="L10" i="14"/>
  <c r="K10" i="14"/>
  <c r="J10" i="14"/>
  <c r="I10" i="14"/>
  <c r="H10" i="14"/>
  <c r="G10" i="14"/>
  <c r="F10" i="14"/>
  <c r="P9" i="14"/>
  <c r="O9" i="14"/>
  <c r="N9" i="14"/>
  <c r="M9" i="14"/>
  <c r="L9" i="14"/>
  <c r="K9" i="14"/>
  <c r="J9" i="14"/>
  <c r="I9" i="14"/>
  <c r="H9" i="14"/>
  <c r="G9" i="14"/>
  <c r="F9" i="14"/>
  <c r="P19" i="13"/>
  <c r="O19" i="13"/>
  <c r="N19" i="13"/>
  <c r="M19" i="13"/>
  <c r="L19" i="13"/>
  <c r="K19" i="13"/>
  <c r="J19" i="13"/>
  <c r="I19" i="13"/>
  <c r="H19" i="13"/>
  <c r="G19" i="13"/>
  <c r="F19" i="13"/>
  <c r="P18" i="13"/>
  <c r="O18" i="13"/>
  <c r="N18" i="13"/>
  <c r="M18" i="13"/>
  <c r="L18" i="13"/>
  <c r="K18" i="13"/>
  <c r="J18" i="13"/>
  <c r="I18" i="13"/>
  <c r="H18" i="13"/>
  <c r="G18" i="13"/>
  <c r="F18" i="13"/>
  <c r="P17" i="13"/>
  <c r="O17" i="13"/>
  <c r="N17" i="13"/>
  <c r="M17" i="13"/>
  <c r="L17" i="13"/>
  <c r="K17" i="13"/>
  <c r="J17" i="13"/>
  <c r="I17" i="13"/>
  <c r="H17" i="13"/>
  <c r="G17" i="13"/>
  <c r="F17" i="13"/>
  <c r="P16" i="13"/>
  <c r="O16" i="13"/>
  <c r="N16" i="13"/>
  <c r="M16" i="13"/>
  <c r="L16" i="13"/>
  <c r="K16" i="13"/>
  <c r="J16" i="13"/>
  <c r="I16" i="13"/>
  <c r="H16" i="13"/>
  <c r="G16" i="13"/>
  <c r="F16" i="13"/>
  <c r="P15" i="13"/>
  <c r="O15" i="13"/>
  <c r="N15" i="13"/>
  <c r="M15" i="13"/>
  <c r="L15" i="13"/>
  <c r="K15" i="13"/>
  <c r="J15" i="13"/>
  <c r="I15" i="13"/>
  <c r="H15" i="13"/>
  <c r="G15" i="13"/>
  <c r="F15" i="13"/>
  <c r="P14" i="13"/>
  <c r="O14" i="13"/>
  <c r="N14" i="13"/>
  <c r="M14" i="13"/>
  <c r="L14" i="13"/>
  <c r="K14" i="13"/>
  <c r="J14" i="13"/>
  <c r="I14" i="13"/>
  <c r="H14" i="13"/>
  <c r="G14" i="13"/>
  <c r="F14" i="13"/>
  <c r="P13" i="13"/>
  <c r="O13" i="13"/>
  <c r="N13" i="13"/>
  <c r="M13" i="13"/>
  <c r="L13" i="13"/>
  <c r="K13" i="13"/>
  <c r="J13" i="13"/>
  <c r="I13" i="13"/>
  <c r="H13" i="13"/>
  <c r="G13" i="13"/>
  <c r="F13" i="13"/>
  <c r="P12" i="13"/>
  <c r="O12" i="13"/>
  <c r="N12" i="13"/>
  <c r="M12" i="13"/>
  <c r="L12" i="13"/>
  <c r="K12" i="13"/>
  <c r="J12" i="13"/>
  <c r="I12" i="13"/>
  <c r="H12" i="13"/>
  <c r="G12" i="13"/>
  <c r="F12" i="13"/>
  <c r="P11" i="13"/>
  <c r="O11" i="13"/>
  <c r="N11" i="13"/>
  <c r="M11" i="13"/>
  <c r="L11" i="13"/>
  <c r="K11" i="13"/>
  <c r="J11" i="13"/>
  <c r="I11" i="13"/>
  <c r="H11" i="13"/>
  <c r="G11" i="13"/>
  <c r="F11" i="13"/>
  <c r="P10" i="13"/>
  <c r="O10" i="13"/>
  <c r="N10" i="13"/>
  <c r="M10" i="13"/>
  <c r="L10" i="13"/>
  <c r="K10" i="13"/>
  <c r="J10" i="13"/>
  <c r="I10" i="13"/>
  <c r="H10" i="13"/>
  <c r="G10" i="13"/>
  <c r="F10" i="13"/>
  <c r="P9" i="13"/>
  <c r="O9" i="13"/>
  <c r="N9" i="13"/>
  <c r="M9" i="13"/>
  <c r="L9" i="13"/>
  <c r="K9" i="13"/>
  <c r="J9" i="13"/>
  <c r="P13" i="17"/>
  <c r="O13" i="17"/>
  <c r="J13" i="17"/>
  <c r="I13" i="17"/>
  <c r="H13" i="17"/>
  <c r="G13" i="17"/>
  <c r="F13" i="17"/>
  <c r="P54" i="13"/>
  <c r="O54" i="13"/>
  <c r="N54" i="13"/>
  <c r="M54" i="13"/>
  <c r="L54" i="13"/>
  <c r="K54" i="13"/>
  <c r="J54" i="13"/>
  <c r="I54" i="13"/>
  <c r="H54" i="13"/>
  <c r="G54" i="13"/>
  <c r="F54" i="13"/>
  <c r="G51" i="13"/>
  <c r="H51" i="13" s="1"/>
  <c r="I51" i="13" s="1"/>
  <c r="J51" i="13" s="1"/>
  <c r="K51" i="13" s="1"/>
  <c r="L51" i="13" s="1"/>
  <c r="M51" i="13" s="1"/>
  <c r="N51" i="13" s="1"/>
  <c r="O51" i="13" s="1"/>
  <c r="P51" i="13" s="1"/>
  <c r="G6" i="13"/>
  <c r="H6" i="13" s="1"/>
  <c r="I6" i="13" s="1"/>
  <c r="J6" i="13" s="1"/>
  <c r="K6" i="13" s="1"/>
  <c r="L6" i="13" s="1"/>
  <c r="M6" i="13" s="1"/>
  <c r="N6" i="13" s="1"/>
  <c r="O6" i="13" s="1"/>
  <c r="P6" i="13" s="1"/>
  <c r="K11" i="17"/>
  <c r="J11" i="17"/>
  <c r="I11" i="17"/>
  <c r="H11" i="17"/>
  <c r="G11" i="17"/>
  <c r="P10" i="17"/>
  <c r="P15" i="17" s="1"/>
  <c r="O10" i="17"/>
  <c r="O15" i="17" s="1"/>
  <c r="K10" i="17"/>
  <c r="J10" i="17"/>
  <c r="I10" i="17"/>
  <c r="H10" i="17"/>
  <c r="G10" i="17"/>
  <c r="F10" i="17"/>
  <c r="F11" i="17"/>
  <c r="J9" i="17"/>
  <c r="I9" i="17"/>
  <c r="H9" i="17"/>
  <c r="G9" i="17"/>
  <c r="F9" i="17"/>
  <c r="P48" i="17"/>
  <c r="O48" i="17"/>
  <c r="N48" i="17"/>
  <c r="M48" i="17"/>
  <c r="L48" i="17"/>
  <c r="K48" i="17"/>
  <c r="J48" i="17"/>
  <c r="I48" i="17"/>
  <c r="H48" i="17"/>
  <c r="G48" i="17"/>
  <c r="F48" i="17"/>
  <c r="G45" i="17"/>
  <c r="H45" i="17" s="1"/>
  <c r="I45" i="17" s="1"/>
  <c r="J45" i="17" s="1"/>
  <c r="K45" i="17" s="1"/>
  <c r="L45" i="17" s="1"/>
  <c r="M45" i="17" s="1"/>
  <c r="N45" i="17" s="1"/>
  <c r="O45" i="17" s="1"/>
  <c r="P45" i="17" s="1"/>
  <c r="L15" i="17"/>
  <c r="L47" i="17" s="1"/>
  <c r="G6" i="17"/>
  <c r="H6" i="17" s="1"/>
  <c r="I6" i="17" s="1"/>
  <c r="J6" i="17" s="1"/>
  <c r="K6" i="17" s="1"/>
  <c r="L6" i="17" s="1"/>
  <c r="M6" i="17" s="1"/>
  <c r="N6" i="17" s="1"/>
  <c r="O6" i="17" s="1"/>
  <c r="P6" i="17" s="1"/>
  <c r="G49" i="14"/>
  <c r="H49" i="14" s="1"/>
  <c r="I49" i="14" s="1"/>
  <c r="J49" i="14" s="1"/>
  <c r="K49" i="14" s="1"/>
  <c r="L49" i="14" s="1"/>
  <c r="M49" i="14" s="1"/>
  <c r="N49" i="14" s="1"/>
  <c r="O49" i="14" s="1"/>
  <c r="P49" i="14" s="1"/>
  <c r="P52" i="14"/>
  <c r="O52" i="14"/>
  <c r="N52" i="14"/>
  <c r="M52" i="14"/>
  <c r="L52" i="14"/>
  <c r="K52" i="14"/>
  <c r="J52" i="14"/>
  <c r="I52" i="14"/>
  <c r="H52" i="14"/>
  <c r="G52" i="14"/>
  <c r="F52" i="14"/>
  <c r="G6" i="14"/>
  <c r="H6" i="14" s="1"/>
  <c r="I6" i="14" s="1"/>
  <c r="J6" i="14" s="1"/>
  <c r="K6" i="14" s="1"/>
  <c r="L6" i="14" s="1"/>
  <c r="M6" i="14" s="1"/>
  <c r="N6" i="14" s="1"/>
  <c r="O6" i="14" s="1"/>
  <c r="P6" i="14" s="1"/>
  <c r="P39" i="15"/>
  <c r="O39" i="15"/>
  <c r="N39" i="15"/>
  <c r="M39" i="15"/>
  <c r="L39" i="15"/>
  <c r="K39" i="15"/>
  <c r="J39" i="15"/>
  <c r="I39" i="15"/>
  <c r="H39" i="15"/>
  <c r="G39" i="15"/>
  <c r="F39" i="15"/>
  <c r="P38" i="15"/>
  <c r="O38" i="15"/>
  <c r="N38" i="15"/>
  <c r="M38" i="15"/>
  <c r="L38" i="15"/>
  <c r="K38" i="15"/>
  <c r="J38" i="15"/>
  <c r="I38" i="15"/>
  <c r="H38" i="15"/>
  <c r="G38" i="15"/>
  <c r="F38" i="15"/>
  <c r="P37" i="15"/>
  <c r="O37" i="15"/>
  <c r="N37" i="15"/>
  <c r="M37" i="15"/>
  <c r="L37" i="15"/>
  <c r="K37" i="15"/>
  <c r="J37" i="15"/>
  <c r="I37" i="15"/>
  <c r="H37" i="15"/>
  <c r="G37" i="15"/>
  <c r="F37" i="15"/>
  <c r="P36" i="15"/>
  <c r="O36" i="15"/>
  <c r="N36" i="15"/>
  <c r="M36" i="15"/>
  <c r="L36" i="15"/>
  <c r="K36" i="15"/>
  <c r="J36" i="15"/>
  <c r="I36" i="15"/>
  <c r="H36" i="15"/>
  <c r="G36" i="15"/>
  <c r="F36" i="15"/>
  <c r="P35" i="15"/>
  <c r="O35" i="15"/>
  <c r="N35" i="15"/>
  <c r="M35" i="15"/>
  <c r="L35" i="15"/>
  <c r="K35" i="15"/>
  <c r="J35" i="15"/>
  <c r="I35" i="15"/>
  <c r="H35" i="15"/>
  <c r="G35" i="15"/>
  <c r="F35" i="15"/>
  <c r="P34" i="15"/>
  <c r="O34" i="15"/>
  <c r="N34" i="15"/>
  <c r="M34" i="15"/>
  <c r="L34" i="15"/>
  <c r="K34" i="15"/>
  <c r="J34" i="15"/>
  <c r="I34" i="15"/>
  <c r="H34" i="15"/>
  <c r="G34" i="15"/>
  <c r="F34" i="15"/>
  <c r="P33" i="15"/>
  <c r="O33" i="15"/>
  <c r="N33" i="15"/>
  <c r="M33" i="15"/>
  <c r="L33" i="15"/>
  <c r="K33" i="15"/>
  <c r="J33" i="15"/>
  <c r="I33" i="15"/>
  <c r="H33" i="15"/>
  <c r="G33" i="15"/>
  <c r="F33" i="15"/>
  <c r="P32" i="15"/>
  <c r="O32" i="15"/>
  <c r="N32" i="15"/>
  <c r="M32" i="15"/>
  <c r="L32" i="15"/>
  <c r="K32" i="15"/>
  <c r="J32" i="15"/>
  <c r="I32" i="15"/>
  <c r="H32" i="15"/>
  <c r="G32" i="15"/>
  <c r="F32" i="15"/>
  <c r="P31" i="15"/>
  <c r="O31" i="15"/>
  <c r="N31" i="15"/>
  <c r="M31" i="15"/>
  <c r="L31" i="15"/>
  <c r="K31" i="15"/>
  <c r="J31" i="15"/>
  <c r="I31" i="15"/>
  <c r="H31" i="15"/>
  <c r="G31" i="15"/>
  <c r="F31" i="15"/>
  <c r="P30" i="15"/>
  <c r="O30" i="15"/>
  <c r="N30" i="15"/>
  <c r="M30" i="15"/>
  <c r="L30" i="15"/>
  <c r="K30" i="15"/>
  <c r="J30" i="15"/>
  <c r="I30" i="15"/>
  <c r="H30" i="15"/>
  <c r="G30" i="15"/>
  <c r="F30" i="15"/>
  <c r="P29" i="15"/>
  <c r="O29" i="15"/>
  <c r="N29" i="15"/>
  <c r="M29" i="15"/>
  <c r="L29" i="15"/>
  <c r="K29" i="15"/>
  <c r="J29" i="15"/>
  <c r="I29" i="15"/>
  <c r="H29" i="15"/>
  <c r="G29" i="15"/>
  <c r="F29" i="15"/>
  <c r="P27" i="15"/>
  <c r="O27" i="15"/>
  <c r="N27" i="15"/>
  <c r="M27" i="15"/>
  <c r="L27" i="15"/>
  <c r="K27" i="15"/>
  <c r="J27" i="15"/>
  <c r="I27" i="15"/>
  <c r="H27" i="15"/>
  <c r="G27" i="15"/>
  <c r="F27" i="15"/>
  <c r="P28" i="15"/>
  <c r="O28" i="15"/>
  <c r="N28" i="15"/>
  <c r="M28" i="15"/>
  <c r="L28" i="15"/>
  <c r="K28" i="15"/>
  <c r="J28" i="15"/>
  <c r="I28" i="15"/>
  <c r="H28" i="15"/>
  <c r="G28" i="15"/>
  <c r="F28" i="15"/>
  <c r="P26" i="15"/>
  <c r="O26" i="15"/>
  <c r="N26" i="15"/>
  <c r="M26" i="15"/>
  <c r="L26" i="15"/>
  <c r="K26" i="15"/>
  <c r="J26" i="15"/>
  <c r="I26" i="15"/>
  <c r="H26" i="15"/>
  <c r="G26" i="15"/>
  <c r="F26" i="15"/>
  <c r="P25" i="15"/>
  <c r="O25" i="15"/>
  <c r="N25" i="15"/>
  <c r="M25" i="15"/>
  <c r="L25" i="15"/>
  <c r="K25" i="15"/>
  <c r="J25" i="15"/>
  <c r="I25" i="15"/>
  <c r="H25" i="15"/>
  <c r="G25" i="15"/>
  <c r="F25" i="15"/>
  <c r="P23" i="15"/>
  <c r="O23" i="15"/>
  <c r="N23" i="15"/>
  <c r="M23" i="15"/>
  <c r="L23" i="15"/>
  <c r="K23" i="15"/>
  <c r="I23" i="15"/>
  <c r="H23" i="15"/>
  <c r="G23" i="15"/>
  <c r="F23" i="15"/>
  <c r="P22" i="15"/>
  <c r="O22" i="15"/>
  <c r="N22" i="15"/>
  <c r="M22" i="15"/>
  <c r="L22" i="15"/>
  <c r="K22" i="15"/>
  <c r="J22" i="15"/>
  <c r="I22" i="15"/>
  <c r="H22" i="15"/>
  <c r="G22" i="15"/>
  <c r="F22" i="15"/>
  <c r="O47" i="17" l="1"/>
  <c r="P47" i="17"/>
  <c r="H24" i="4"/>
  <c r="G24" i="4"/>
  <c r="G71" i="4"/>
  <c r="M11" i="4"/>
  <c r="H71" i="4"/>
  <c r="F71" i="4"/>
  <c r="O10" i="4"/>
  <c r="O37" i="4" s="1"/>
  <c r="N37" i="4"/>
  <c r="M37" i="4"/>
  <c r="H15" i="17"/>
  <c r="H47" i="17" s="1"/>
  <c r="G15" i="17"/>
  <c r="G47" i="17" s="1"/>
  <c r="L21" i="13"/>
  <c r="L53" i="13" s="1"/>
  <c r="K21" i="13"/>
  <c r="K53" i="13" s="1"/>
  <c r="G21" i="13"/>
  <c r="G53" i="13" s="1"/>
  <c r="O21" i="13"/>
  <c r="O53" i="13" s="1"/>
  <c r="H21" i="13"/>
  <c r="H53" i="13" s="1"/>
  <c r="P21" i="13"/>
  <c r="P53" i="13" s="1"/>
  <c r="J21" i="13"/>
  <c r="J53" i="13" s="1"/>
  <c r="N21" i="13"/>
  <c r="N53" i="13" s="1"/>
  <c r="I21" i="13"/>
  <c r="I53" i="13" s="1"/>
  <c r="M21" i="13"/>
  <c r="M53" i="13" s="1"/>
  <c r="F21" i="13"/>
  <c r="F53" i="13" s="1"/>
  <c r="K15" i="17"/>
  <c r="K47" i="17" s="1"/>
  <c r="F15" i="17"/>
  <c r="F47" i="17" s="1"/>
  <c r="J15" i="17"/>
  <c r="J47" i="17" s="1"/>
  <c r="N15" i="17"/>
  <c r="N47" i="17" s="1"/>
  <c r="I15" i="17"/>
  <c r="I47" i="17" s="1"/>
  <c r="M15" i="17"/>
  <c r="M47" i="17" s="1"/>
  <c r="I19" i="14"/>
  <c r="I51" i="14" s="1"/>
  <c r="M19" i="14"/>
  <c r="M51" i="14" s="1"/>
  <c r="F19" i="14"/>
  <c r="F51" i="14" s="1"/>
  <c r="J19" i="14"/>
  <c r="J51" i="14" s="1"/>
  <c r="N19" i="14"/>
  <c r="N51" i="14" s="1"/>
  <c r="G19" i="14"/>
  <c r="G51" i="14" s="1"/>
  <c r="K19" i="14"/>
  <c r="K51" i="14" s="1"/>
  <c r="O19" i="14"/>
  <c r="O51" i="14" s="1"/>
  <c r="H19" i="14"/>
  <c r="H51" i="14" s="1"/>
  <c r="L19" i="14"/>
  <c r="L51" i="14" s="1"/>
  <c r="P19" i="14"/>
  <c r="P51" i="14" s="1"/>
  <c r="P18" i="15"/>
  <c r="O18" i="15"/>
  <c r="N18" i="15"/>
  <c r="M18" i="15"/>
  <c r="L18" i="15"/>
  <c r="K18" i="15"/>
  <c r="J18" i="15"/>
  <c r="I18" i="15"/>
  <c r="H18" i="15"/>
  <c r="G18" i="15"/>
  <c r="P17" i="15"/>
  <c r="O17" i="15"/>
  <c r="N17" i="15"/>
  <c r="M17" i="15"/>
  <c r="L17" i="15"/>
  <c r="K17" i="15"/>
  <c r="J17" i="15"/>
  <c r="I17" i="15"/>
  <c r="H17" i="15"/>
  <c r="G17" i="15"/>
  <c r="F18" i="15"/>
  <c r="F17" i="15"/>
  <c r="P16" i="15"/>
  <c r="O16" i="15"/>
  <c r="N16" i="15"/>
  <c r="M16" i="15"/>
  <c r="L16" i="15"/>
  <c r="K16" i="15"/>
  <c r="J16" i="15"/>
  <c r="I16" i="15"/>
  <c r="H16" i="15"/>
  <c r="G16" i="15"/>
  <c r="F16" i="15"/>
  <c r="P15" i="15"/>
  <c r="O15" i="15"/>
  <c r="N15" i="15"/>
  <c r="M15" i="15"/>
  <c r="L15" i="15"/>
  <c r="K15" i="15"/>
  <c r="J15" i="15"/>
  <c r="I15" i="15"/>
  <c r="H15" i="15"/>
  <c r="G15" i="15"/>
  <c r="P14" i="15"/>
  <c r="O14" i="15"/>
  <c r="N14" i="15"/>
  <c r="M14" i="15"/>
  <c r="L14" i="15"/>
  <c r="K14" i="15"/>
  <c r="J14" i="15"/>
  <c r="I14" i="15"/>
  <c r="H14" i="15"/>
  <c r="G14" i="15"/>
  <c r="P13" i="15"/>
  <c r="O13" i="15"/>
  <c r="N13" i="15"/>
  <c r="M13" i="15"/>
  <c r="L13" i="15"/>
  <c r="K13" i="15"/>
  <c r="J13" i="15"/>
  <c r="I13" i="15"/>
  <c r="H13" i="15"/>
  <c r="G13" i="15"/>
  <c r="P12" i="15"/>
  <c r="O12" i="15"/>
  <c r="N12" i="15"/>
  <c r="M12" i="15"/>
  <c r="L12" i="15"/>
  <c r="K12" i="15"/>
  <c r="J12" i="15"/>
  <c r="I12" i="15"/>
  <c r="H12" i="15"/>
  <c r="G12" i="15"/>
  <c r="P11" i="15"/>
  <c r="O11" i="15"/>
  <c r="N11" i="15"/>
  <c r="M11" i="15"/>
  <c r="L11" i="15"/>
  <c r="K11" i="15"/>
  <c r="J11" i="15"/>
  <c r="I11" i="15"/>
  <c r="H11" i="15"/>
  <c r="G11" i="15"/>
  <c r="P10" i="15"/>
  <c r="O10" i="15"/>
  <c r="N10" i="15"/>
  <c r="M10" i="15"/>
  <c r="L10" i="15"/>
  <c r="K10" i="15"/>
  <c r="J10" i="15"/>
  <c r="I10" i="15"/>
  <c r="H10" i="15"/>
  <c r="G10" i="15"/>
  <c r="P9" i="15"/>
  <c r="O9" i="15"/>
  <c r="N9" i="15"/>
  <c r="M9" i="15"/>
  <c r="L9" i="15"/>
  <c r="K9" i="15"/>
  <c r="J9" i="15"/>
  <c r="I9" i="15"/>
  <c r="H9" i="15"/>
  <c r="G9" i="15"/>
  <c r="P8" i="15"/>
  <c r="P73" i="15" s="1"/>
  <c r="O8" i="15"/>
  <c r="N8" i="15"/>
  <c r="M8" i="15"/>
  <c r="L8" i="15"/>
  <c r="L73" i="15" s="1"/>
  <c r="K8" i="15"/>
  <c r="J8" i="15"/>
  <c r="J73" i="15" s="1"/>
  <c r="I8" i="15"/>
  <c r="I73" i="15" s="1"/>
  <c r="H8" i="15"/>
  <c r="H73" i="15" s="1"/>
  <c r="G8" i="15"/>
  <c r="F15" i="15"/>
  <c r="F14" i="15"/>
  <c r="F13" i="15"/>
  <c r="F12" i="15"/>
  <c r="F11" i="15"/>
  <c r="F10" i="15"/>
  <c r="F9" i="15"/>
  <c r="F8" i="15"/>
  <c r="F73" i="15" s="1"/>
  <c r="N73" i="15"/>
  <c r="M73" i="15"/>
  <c r="G70" i="15"/>
  <c r="H70" i="15" s="1"/>
  <c r="I70" i="15" s="1"/>
  <c r="J70" i="15" s="1"/>
  <c r="K70" i="15" s="1"/>
  <c r="L70" i="15" s="1"/>
  <c r="M70" i="15" s="1"/>
  <c r="N70" i="15" s="1"/>
  <c r="O70" i="15" s="1"/>
  <c r="P70" i="15" s="1"/>
  <c r="G6" i="15"/>
  <c r="H6" i="15" s="1"/>
  <c r="I6" i="15" s="1"/>
  <c r="J6" i="15" s="1"/>
  <c r="K6" i="15" s="1"/>
  <c r="L6" i="15" s="1"/>
  <c r="M6" i="15" s="1"/>
  <c r="N6" i="15" s="1"/>
  <c r="O6" i="15" s="1"/>
  <c r="P6" i="15" s="1"/>
  <c r="P50" i="12"/>
  <c r="L45" i="10" s="1"/>
  <c r="L50" i="12"/>
  <c r="H45" i="10" s="1"/>
  <c r="H50" i="12"/>
  <c r="D45" i="10" s="1"/>
  <c r="H47" i="12"/>
  <c r="I47" i="12" s="1"/>
  <c r="J47" i="12" s="1"/>
  <c r="K47" i="12" s="1"/>
  <c r="L47" i="12" s="1"/>
  <c r="M47" i="12" s="1"/>
  <c r="N47" i="12" s="1"/>
  <c r="O47" i="12" s="1"/>
  <c r="P47" i="12" s="1"/>
  <c r="Q47" i="12" s="1"/>
  <c r="Q34" i="12"/>
  <c r="Q38" i="12" s="1"/>
  <c r="P34" i="12"/>
  <c r="O34" i="12"/>
  <c r="O50" i="12" s="1"/>
  <c r="K45" i="10" s="1"/>
  <c r="N34" i="12"/>
  <c r="N50" i="12" s="1"/>
  <c r="J45" i="10" s="1"/>
  <c r="M34" i="12"/>
  <c r="M38" i="12" s="1"/>
  <c r="L34" i="12"/>
  <c r="K34" i="12"/>
  <c r="K50" i="12" s="1"/>
  <c r="G45" i="10" s="1"/>
  <c r="J34" i="12"/>
  <c r="J38" i="12" s="1"/>
  <c r="F35" i="10" s="1"/>
  <c r="I34" i="12"/>
  <c r="I50" i="12" s="1"/>
  <c r="E45" i="10" s="1"/>
  <c r="H34" i="12"/>
  <c r="G34" i="12"/>
  <c r="G38" i="12" s="1"/>
  <c r="N38" i="12"/>
  <c r="J35" i="10" s="1"/>
  <c r="K38" i="12"/>
  <c r="G35" i="10" s="1"/>
  <c r="Q18" i="12"/>
  <c r="M17" i="10" s="1"/>
  <c r="P18" i="12"/>
  <c r="L17" i="10" s="1"/>
  <c r="O18" i="12"/>
  <c r="K17" i="10" s="1"/>
  <c r="N18" i="12"/>
  <c r="J17" i="10" s="1"/>
  <c r="M18" i="12"/>
  <c r="I17" i="10" s="1"/>
  <c r="L18" i="12"/>
  <c r="H17" i="10" s="1"/>
  <c r="K18" i="12"/>
  <c r="G17" i="10" s="1"/>
  <c r="J18" i="12"/>
  <c r="F17" i="10" s="1"/>
  <c r="I18" i="12"/>
  <c r="E17" i="10" s="1"/>
  <c r="H18" i="12"/>
  <c r="D17" i="10" s="1"/>
  <c r="G18" i="12"/>
  <c r="C17" i="10" s="1"/>
  <c r="P73" i="11"/>
  <c r="O73" i="11"/>
  <c r="N73" i="11"/>
  <c r="M73" i="11"/>
  <c r="L73" i="11"/>
  <c r="K73" i="11"/>
  <c r="J73" i="11"/>
  <c r="I73" i="11"/>
  <c r="H73" i="11"/>
  <c r="G73" i="11"/>
  <c r="P72" i="11"/>
  <c r="O72" i="11"/>
  <c r="N72" i="11"/>
  <c r="M72" i="11"/>
  <c r="L72" i="11"/>
  <c r="K72" i="11"/>
  <c r="J72" i="11"/>
  <c r="I72" i="11"/>
  <c r="H72" i="11"/>
  <c r="G72" i="11"/>
  <c r="F73" i="11"/>
  <c r="F72" i="11"/>
  <c r="G70" i="11"/>
  <c r="H70" i="11" s="1"/>
  <c r="I70" i="11" s="1"/>
  <c r="J70" i="11" s="1"/>
  <c r="K70" i="11" s="1"/>
  <c r="L70" i="11" s="1"/>
  <c r="M70" i="11" s="1"/>
  <c r="N70" i="11" s="1"/>
  <c r="O70" i="11" s="1"/>
  <c r="P70" i="11" s="1"/>
  <c r="D50" i="10"/>
  <c r="E50" i="10" s="1"/>
  <c r="F50" i="10" s="1"/>
  <c r="G50" i="10" s="1"/>
  <c r="H50" i="10" s="1"/>
  <c r="I50" i="10" s="1"/>
  <c r="J50" i="10" s="1"/>
  <c r="K50" i="10" s="1"/>
  <c r="L50" i="10" s="1"/>
  <c r="M50" i="10" s="1"/>
  <c r="D42" i="10"/>
  <c r="E42" i="10" s="1"/>
  <c r="F42" i="10" s="1"/>
  <c r="G42" i="10" s="1"/>
  <c r="H42" i="10" s="1"/>
  <c r="I42" i="10" s="1"/>
  <c r="J42" i="10" s="1"/>
  <c r="K42" i="10" s="1"/>
  <c r="L42" i="10" s="1"/>
  <c r="M42" i="10" s="1"/>
  <c r="P47" i="8"/>
  <c r="O47" i="8"/>
  <c r="N47" i="8"/>
  <c r="N46" i="8" s="1"/>
  <c r="M47" i="8"/>
  <c r="M46" i="8" s="1"/>
  <c r="L47" i="8"/>
  <c r="K47" i="8"/>
  <c r="J47" i="8"/>
  <c r="J46" i="8" s="1"/>
  <c r="I47" i="8"/>
  <c r="I46" i="8" s="1"/>
  <c r="H47" i="8"/>
  <c r="G47" i="8"/>
  <c r="P46" i="8"/>
  <c r="O46" i="8"/>
  <c r="L46" i="8"/>
  <c r="K46" i="8"/>
  <c r="H46" i="8"/>
  <c r="G46" i="8"/>
  <c r="F46" i="8"/>
  <c r="F47" i="8"/>
  <c r="G44" i="8"/>
  <c r="H44" i="8" s="1"/>
  <c r="I44" i="8" s="1"/>
  <c r="J44" i="8" s="1"/>
  <c r="K44" i="8" s="1"/>
  <c r="L44" i="8" s="1"/>
  <c r="M44" i="8" s="1"/>
  <c r="N44" i="8" s="1"/>
  <c r="O44" i="8" s="1"/>
  <c r="P44" i="8" s="1"/>
  <c r="F46" i="11"/>
  <c r="F57" i="11" s="1"/>
  <c r="F58" i="11" s="1"/>
  <c r="K26" i="8"/>
  <c r="M34" i="10"/>
  <c r="L34" i="10"/>
  <c r="K34" i="10"/>
  <c r="J34" i="10"/>
  <c r="I34" i="10"/>
  <c r="H34" i="10"/>
  <c r="G34" i="10"/>
  <c r="F34" i="10"/>
  <c r="E34" i="10"/>
  <c r="D34" i="10"/>
  <c r="M16" i="10"/>
  <c r="L16" i="10"/>
  <c r="K16" i="10"/>
  <c r="J16" i="10"/>
  <c r="I16" i="10"/>
  <c r="H16" i="10"/>
  <c r="G16" i="10"/>
  <c r="F16" i="10"/>
  <c r="E16" i="10"/>
  <c r="D16" i="10"/>
  <c r="C34" i="10"/>
  <c r="C16" i="10"/>
  <c r="J53" i="11"/>
  <c r="N57" i="11"/>
  <c r="N60" i="11" s="1"/>
  <c r="J57" i="11"/>
  <c r="J58" i="11" s="1"/>
  <c r="P53" i="11"/>
  <c r="O53" i="11"/>
  <c r="N53" i="11"/>
  <c r="M53" i="11"/>
  <c r="M57" i="11" s="1"/>
  <c r="M60" i="11" s="1"/>
  <c r="L53" i="11"/>
  <c r="K53" i="11"/>
  <c r="I53" i="11"/>
  <c r="I57" i="11" s="1"/>
  <c r="I58" i="11" s="1"/>
  <c r="H53" i="11"/>
  <c r="G53" i="11"/>
  <c r="F53" i="11"/>
  <c r="P46" i="11"/>
  <c r="P57" i="11" s="1"/>
  <c r="P60" i="11" s="1"/>
  <c r="O46" i="11"/>
  <c r="O57" i="11" s="1"/>
  <c r="O60" i="11" s="1"/>
  <c r="N46" i="11"/>
  <c r="M46" i="11"/>
  <c r="L46" i="11"/>
  <c r="L57" i="11" s="1"/>
  <c r="L60" i="11" s="1"/>
  <c r="K46" i="11"/>
  <c r="K57" i="11" s="1"/>
  <c r="K60" i="11" s="1"/>
  <c r="J46" i="11"/>
  <c r="I46" i="11"/>
  <c r="H46" i="11"/>
  <c r="H57" i="11" s="1"/>
  <c r="H58" i="11" s="1"/>
  <c r="G46" i="11"/>
  <c r="G57" i="11" s="1"/>
  <c r="G58" i="11" s="1"/>
  <c r="P26" i="11"/>
  <c r="O26" i="11"/>
  <c r="N26" i="11"/>
  <c r="M26" i="11"/>
  <c r="L26" i="11"/>
  <c r="K26" i="11"/>
  <c r="I33" i="11"/>
  <c r="H33" i="11"/>
  <c r="G33" i="11"/>
  <c r="F33" i="11"/>
  <c r="T31" i="8"/>
  <c r="P19" i="11"/>
  <c r="O19" i="11"/>
  <c r="N19" i="11"/>
  <c r="M19" i="11"/>
  <c r="L19" i="11"/>
  <c r="K19" i="11"/>
  <c r="J19" i="11"/>
  <c r="I19" i="11"/>
  <c r="H19" i="11"/>
  <c r="G19" i="11"/>
  <c r="F19" i="11"/>
  <c r="M32" i="10"/>
  <c r="L32" i="10"/>
  <c r="K32" i="10"/>
  <c r="J32" i="10"/>
  <c r="I32" i="10"/>
  <c r="H32" i="10"/>
  <c r="G32" i="10"/>
  <c r="F32" i="10"/>
  <c r="E32" i="10"/>
  <c r="D32" i="10"/>
  <c r="M30" i="10"/>
  <c r="L30" i="10"/>
  <c r="K30" i="10"/>
  <c r="J30" i="10"/>
  <c r="I30" i="10"/>
  <c r="H30" i="10"/>
  <c r="G30" i="10"/>
  <c r="F30" i="10"/>
  <c r="E30" i="10"/>
  <c r="D30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G27" i="10"/>
  <c r="F27" i="10"/>
  <c r="E27" i="10"/>
  <c r="D27" i="10"/>
  <c r="M26" i="10"/>
  <c r="L26" i="10"/>
  <c r="K26" i="10"/>
  <c r="J26" i="10"/>
  <c r="I26" i="10"/>
  <c r="H26" i="10"/>
  <c r="G26" i="10"/>
  <c r="E26" i="10"/>
  <c r="D26" i="10"/>
  <c r="C32" i="10"/>
  <c r="C30" i="10"/>
  <c r="C29" i="10"/>
  <c r="C28" i="10"/>
  <c r="C27" i="10"/>
  <c r="C26" i="10"/>
  <c r="D24" i="10"/>
  <c r="E24" i="10" s="1"/>
  <c r="F24" i="10" s="1"/>
  <c r="G24" i="10" s="1"/>
  <c r="H24" i="10" s="1"/>
  <c r="I24" i="10" s="1"/>
  <c r="J24" i="10" s="1"/>
  <c r="K24" i="10" s="1"/>
  <c r="L24" i="10" s="1"/>
  <c r="M24" i="10" s="1"/>
  <c r="L162" i="7"/>
  <c r="G159" i="7"/>
  <c r="H159" i="7" s="1"/>
  <c r="I159" i="7" s="1"/>
  <c r="J159" i="7" s="1"/>
  <c r="K159" i="7" s="1"/>
  <c r="L159" i="7" s="1"/>
  <c r="M159" i="7" s="1"/>
  <c r="N159" i="7" s="1"/>
  <c r="O159" i="7" s="1"/>
  <c r="P159" i="7" s="1"/>
  <c r="J24" i="7"/>
  <c r="J25" i="7"/>
  <c r="J26" i="7"/>
  <c r="J27" i="7"/>
  <c r="Q85" i="6"/>
  <c r="P85" i="6"/>
  <c r="O85" i="6"/>
  <c r="N85" i="6"/>
  <c r="M85" i="6"/>
  <c r="L85" i="6"/>
  <c r="K85" i="6"/>
  <c r="J85" i="6"/>
  <c r="I85" i="6"/>
  <c r="H85" i="6"/>
  <c r="G85" i="6"/>
  <c r="H82" i="6"/>
  <c r="I82" i="6" s="1"/>
  <c r="J82" i="6" s="1"/>
  <c r="K82" i="6" s="1"/>
  <c r="L82" i="6" s="1"/>
  <c r="M82" i="6" s="1"/>
  <c r="N82" i="6" s="1"/>
  <c r="O82" i="6" s="1"/>
  <c r="P82" i="6" s="1"/>
  <c r="Q82" i="6" s="1"/>
  <c r="M38" i="4" l="1"/>
  <c r="N11" i="4"/>
  <c r="M50" i="12"/>
  <c r="I45" i="10" s="1"/>
  <c r="J50" i="12"/>
  <c r="F45" i="10" s="1"/>
  <c r="Q50" i="12"/>
  <c r="M45" i="10" s="1"/>
  <c r="G50" i="12"/>
  <c r="C45" i="10" s="1"/>
  <c r="J40" i="15"/>
  <c r="J72" i="15" s="1"/>
  <c r="N40" i="15"/>
  <c r="N72" i="15" s="1"/>
  <c r="H40" i="15"/>
  <c r="H72" i="15" s="1"/>
  <c r="L40" i="15"/>
  <c r="L72" i="15" s="1"/>
  <c r="P40" i="15"/>
  <c r="P72" i="15" s="1"/>
  <c r="I40" i="15"/>
  <c r="I72" i="15" s="1"/>
  <c r="M40" i="15"/>
  <c r="M72" i="15" s="1"/>
  <c r="G73" i="15"/>
  <c r="G40" i="15" s="1"/>
  <c r="K73" i="15"/>
  <c r="K40" i="15" s="1"/>
  <c r="O73" i="15"/>
  <c r="O40" i="15" s="1"/>
  <c r="F40" i="15"/>
  <c r="F72" i="15" s="1"/>
  <c r="O38" i="12"/>
  <c r="K35" i="10" s="1"/>
  <c r="K49" i="12"/>
  <c r="I38" i="12"/>
  <c r="I49" i="12" s="1"/>
  <c r="G49" i="12"/>
  <c r="M49" i="12"/>
  <c r="I35" i="10"/>
  <c r="M35" i="10"/>
  <c r="Q49" i="12"/>
  <c r="J49" i="12"/>
  <c r="L38" i="12"/>
  <c r="C35" i="10"/>
  <c r="H38" i="12"/>
  <c r="P38" i="12"/>
  <c r="N49" i="12"/>
  <c r="F12" i="11"/>
  <c r="F23" i="11" s="1"/>
  <c r="F24" i="11" s="1"/>
  <c r="I12" i="11"/>
  <c r="I23" i="11" s="1"/>
  <c r="I24" i="11" s="1"/>
  <c r="H12" i="11"/>
  <c r="H23" i="11" s="1"/>
  <c r="H24" i="11" s="1"/>
  <c r="L12" i="11"/>
  <c r="L23" i="11" s="1"/>
  <c r="P12" i="11"/>
  <c r="P23" i="11" s="1"/>
  <c r="J12" i="11"/>
  <c r="J23" i="11" s="1"/>
  <c r="J24" i="11" s="1"/>
  <c r="M12" i="11"/>
  <c r="M23" i="11" s="1"/>
  <c r="N12" i="11"/>
  <c r="N23" i="11" s="1"/>
  <c r="G12" i="11"/>
  <c r="G23" i="11" s="1"/>
  <c r="G24" i="11" s="1"/>
  <c r="K12" i="11"/>
  <c r="K23" i="11" s="1"/>
  <c r="O12" i="11"/>
  <c r="O23" i="11" s="1"/>
  <c r="L47" i="6"/>
  <c r="J118" i="5"/>
  <c r="J82" i="5"/>
  <c r="J96" i="5"/>
  <c r="O11" i="4" l="1"/>
  <c r="N38" i="4"/>
  <c r="O49" i="12"/>
  <c r="G72" i="15"/>
  <c r="K72" i="15"/>
  <c r="O72" i="15"/>
  <c r="E35" i="10"/>
  <c r="H35" i="10"/>
  <c r="L49" i="12"/>
  <c r="L35" i="10"/>
  <c r="P49" i="12"/>
  <c r="H49" i="12"/>
  <c r="D35" i="10"/>
  <c r="J98" i="5"/>
  <c r="P11" i="4" l="1"/>
  <c r="P38" i="4" s="1"/>
  <c r="O38" i="4"/>
  <c r="O54" i="4" s="1"/>
  <c r="F70" i="4"/>
  <c r="C44" i="10" s="1"/>
  <c r="J113" i="7"/>
  <c r="J162" i="7" s="1"/>
  <c r="K113" i="7"/>
  <c r="K162" i="7" s="1"/>
  <c r="G115" i="5"/>
  <c r="H115" i="5" s="1"/>
  <c r="I115" i="5" s="1"/>
  <c r="J115" i="5" s="1"/>
  <c r="K115" i="5" s="1"/>
  <c r="L115" i="5" s="1"/>
  <c r="M115" i="5" s="1"/>
  <c r="N115" i="5" s="1"/>
  <c r="O115" i="5" s="1"/>
  <c r="P115" i="5" s="1"/>
  <c r="G68" i="4"/>
  <c r="H68" i="4" s="1"/>
  <c r="I68" i="4" s="1"/>
  <c r="J68" i="4" s="1"/>
  <c r="K68" i="4" s="1"/>
  <c r="L68" i="4" s="1"/>
  <c r="M68" i="4" s="1"/>
  <c r="N68" i="4" s="1"/>
  <c r="O68" i="4" s="1"/>
  <c r="P68" i="4" s="1"/>
  <c r="P54" i="4"/>
  <c r="N54" i="4"/>
  <c r="M54" i="4"/>
  <c r="L54" i="4"/>
  <c r="K54" i="4"/>
  <c r="H29" i="10" l="1"/>
  <c r="K70" i="4"/>
  <c r="L29" i="10"/>
  <c r="O70" i="4"/>
  <c r="L44" i="10" s="1"/>
  <c r="L46" i="10" s="1"/>
  <c r="I29" i="10"/>
  <c r="L70" i="4"/>
  <c r="I44" i="10" s="1"/>
  <c r="I46" i="10" s="1"/>
  <c r="M29" i="10"/>
  <c r="P70" i="4"/>
  <c r="M44" i="10" s="1"/>
  <c r="M46" i="10" s="1"/>
  <c r="J29" i="10"/>
  <c r="M70" i="4"/>
  <c r="J44" i="10" s="1"/>
  <c r="K29" i="10"/>
  <c r="N70" i="4"/>
  <c r="K44" i="10" s="1"/>
  <c r="C46" i="10"/>
  <c r="C53" i="10" s="1"/>
  <c r="J54" i="4"/>
  <c r="J70" i="4" s="1"/>
  <c r="I54" i="4"/>
  <c r="H54" i="4"/>
  <c r="H70" i="4" s="1"/>
  <c r="G54" i="4"/>
  <c r="G70" i="4" s="1"/>
  <c r="P43" i="3"/>
  <c r="O43" i="3"/>
  <c r="N43" i="3"/>
  <c r="M43" i="3"/>
  <c r="L43" i="3"/>
  <c r="K43" i="3"/>
  <c r="J43" i="3"/>
  <c r="I43" i="3"/>
  <c r="H43" i="3"/>
  <c r="G43" i="3"/>
  <c r="F43" i="3"/>
  <c r="H40" i="3"/>
  <c r="I40" i="3" s="1"/>
  <c r="J40" i="3" s="1"/>
  <c r="K40" i="3" s="1"/>
  <c r="L40" i="3" s="1"/>
  <c r="M40" i="3" s="1"/>
  <c r="N40" i="3" s="1"/>
  <c r="O40" i="3" s="1"/>
  <c r="P40" i="3" s="1"/>
  <c r="G40" i="3"/>
  <c r="P45" i="2"/>
  <c r="O45" i="2"/>
  <c r="N45" i="2"/>
  <c r="M45" i="2"/>
  <c r="L45" i="2"/>
  <c r="K45" i="2"/>
  <c r="J45" i="2"/>
  <c r="I45" i="2"/>
  <c r="H45" i="2"/>
  <c r="G45" i="2"/>
  <c r="F45" i="2"/>
  <c r="G42" i="2"/>
  <c r="H42" i="2" s="1"/>
  <c r="I42" i="2" s="1"/>
  <c r="J42" i="2" s="1"/>
  <c r="K42" i="2" s="1"/>
  <c r="L42" i="2" s="1"/>
  <c r="M42" i="2" s="1"/>
  <c r="N42" i="2" s="1"/>
  <c r="O42" i="2" s="1"/>
  <c r="P42" i="2" s="1"/>
  <c r="P54" i="1"/>
  <c r="O54" i="1"/>
  <c r="N54" i="1"/>
  <c r="M54" i="1"/>
  <c r="L54" i="1"/>
  <c r="K54" i="1"/>
  <c r="J54" i="1"/>
  <c r="H54" i="1"/>
  <c r="G54" i="1"/>
  <c r="F54" i="1"/>
  <c r="G52" i="1"/>
  <c r="H52" i="1" s="1"/>
  <c r="I52" i="1" s="1"/>
  <c r="J52" i="1" s="1"/>
  <c r="K52" i="1" s="1"/>
  <c r="L52" i="1" s="1"/>
  <c r="M52" i="1" s="1"/>
  <c r="N52" i="1" s="1"/>
  <c r="O52" i="1" s="1"/>
  <c r="P52" i="1" s="1"/>
  <c r="P31" i="3"/>
  <c r="P42" i="3" s="1"/>
  <c r="O31" i="3"/>
  <c r="O42" i="3" s="1"/>
  <c r="N31" i="3"/>
  <c r="N42" i="3" s="1"/>
  <c r="M31" i="3"/>
  <c r="M42" i="3" s="1"/>
  <c r="L31" i="3"/>
  <c r="L42" i="3" s="1"/>
  <c r="K31" i="3"/>
  <c r="K42" i="3" s="1"/>
  <c r="J31" i="3"/>
  <c r="J42" i="3" s="1"/>
  <c r="I31" i="3"/>
  <c r="I42" i="3" s="1"/>
  <c r="H31" i="3"/>
  <c r="H42" i="3" s="1"/>
  <c r="G31" i="3"/>
  <c r="G42" i="3" s="1"/>
  <c r="F31" i="3"/>
  <c r="F42" i="3" s="1"/>
  <c r="G23" i="3"/>
  <c r="H23" i="3" s="1"/>
  <c r="I23" i="3" s="1"/>
  <c r="J23" i="3" s="1"/>
  <c r="K23" i="3" s="1"/>
  <c r="L23" i="3" s="1"/>
  <c r="M23" i="3" s="1"/>
  <c r="N23" i="3" s="1"/>
  <c r="O23" i="3" s="1"/>
  <c r="P23" i="3" s="1"/>
  <c r="F29" i="10" l="1"/>
  <c r="I70" i="4"/>
  <c r="C52" i="10"/>
  <c r="G29" i="10"/>
  <c r="G44" i="10"/>
  <c r="M52" i="10"/>
  <c r="M53" i="10"/>
  <c r="K46" i="10"/>
  <c r="K53" i="10" s="1"/>
  <c r="J46" i="10"/>
  <c r="J53" i="10" s="1"/>
  <c r="I52" i="10"/>
  <c r="I53" i="10"/>
  <c r="D29" i="10"/>
  <c r="D44" i="10"/>
  <c r="D46" i="10" s="1"/>
  <c r="E29" i="10"/>
  <c r="E44" i="10"/>
  <c r="E46" i="10" s="1"/>
  <c r="L52" i="10"/>
  <c r="L53" i="10"/>
  <c r="Q70" i="6"/>
  <c r="P70" i="6"/>
  <c r="O70" i="6"/>
  <c r="N70" i="6"/>
  <c r="M70" i="6"/>
  <c r="L70" i="6"/>
  <c r="K70" i="6"/>
  <c r="J70" i="6"/>
  <c r="I65" i="6"/>
  <c r="I70" i="6" s="1"/>
  <c r="H65" i="6"/>
  <c r="H70" i="6" s="1"/>
  <c r="G65" i="6"/>
  <c r="G70" i="6" s="1"/>
  <c r="G46" i="10" l="1"/>
  <c r="G53" i="10" s="1"/>
  <c r="K52" i="10"/>
  <c r="J52" i="10"/>
  <c r="E52" i="10"/>
  <c r="E53" i="10"/>
  <c r="D52" i="10"/>
  <c r="D53" i="10"/>
  <c r="N84" i="6"/>
  <c r="J31" i="10"/>
  <c r="G84" i="6"/>
  <c r="C31" i="10"/>
  <c r="K84" i="6"/>
  <c r="G31" i="10"/>
  <c r="O84" i="6"/>
  <c r="K31" i="10"/>
  <c r="J84" i="6"/>
  <c r="F31" i="10"/>
  <c r="H84" i="6"/>
  <c r="D31" i="10"/>
  <c r="L84" i="6"/>
  <c r="H31" i="10"/>
  <c r="P84" i="6"/>
  <c r="L31" i="10"/>
  <c r="I84" i="6"/>
  <c r="E31" i="10"/>
  <c r="M84" i="6"/>
  <c r="I31" i="10"/>
  <c r="Q84" i="6"/>
  <c r="M31" i="10"/>
  <c r="G33" i="4"/>
  <c r="H33" i="4" s="1"/>
  <c r="I33" i="4" s="1"/>
  <c r="J33" i="4" s="1"/>
  <c r="K33" i="4" s="1"/>
  <c r="L33" i="4" s="1"/>
  <c r="M33" i="4" s="1"/>
  <c r="N33" i="4" s="1"/>
  <c r="O33" i="4" s="1"/>
  <c r="P33" i="4" s="1"/>
  <c r="P33" i="2"/>
  <c r="P44" i="2" s="1"/>
  <c r="O33" i="2"/>
  <c r="O44" i="2" s="1"/>
  <c r="N33" i="2"/>
  <c r="N44" i="2" s="1"/>
  <c r="M33" i="2"/>
  <c r="M44" i="2" s="1"/>
  <c r="L33" i="2"/>
  <c r="L44" i="2" s="1"/>
  <c r="K33" i="2"/>
  <c r="J33" i="2"/>
  <c r="J44" i="2" s="1"/>
  <c r="I33" i="2"/>
  <c r="I44" i="2" s="1"/>
  <c r="H33" i="2"/>
  <c r="H44" i="2" s="1"/>
  <c r="G33" i="2"/>
  <c r="G44" i="2" s="1"/>
  <c r="F33" i="2"/>
  <c r="F44" i="2" s="1"/>
  <c r="G23" i="2"/>
  <c r="H23" i="2" s="1"/>
  <c r="I23" i="2" s="1"/>
  <c r="J23" i="2" s="1"/>
  <c r="K23" i="2" s="1"/>
  <c r="L23" i="2" s="1"/>
  <c r="M23" i="2" s="1"/>
  <c r="N23" i="2" s="1"/>
  <c r="O23" i="2" s="1"/>
  <c r="P23" i="2" s="1"/>
  <c r="K44" i="2" l="1"/>
  <c r="H44" i="10" s="1"/>
  <c r="H27" i="10"/>
  <c r="G52" i="10"/>
  <c r="P43" i="1"/>
  <c r="O43" i="1"/>
  <c r="N43" i="1"/>
  <c r="M43" i="1"/>
  <c r="L43" i="1"/>
  <c r="K43" i="1"/>
  <c r="J43" i="1"/>
  <c r="I43" i="1"/>
  <c r="H43" i="1"/>
  <c r="G43" i="1"/>
  <c r="F43" i="1"/>
  <c r="G27" i="1"/>
  <c r="H27" i="1" s="1"/>
  <c r="I27" i="1" s="1"/>
  <c r="J27" i="1" s="1"/>
  <c r="K27" i="1" s="1"/>
  <c r="L27" i="1" s="1"/>
  <c r="M27" i="1" s="1"/>
  <c r="N27" i="1" s="1"/>
  <c r="O27" i="1" s="1"/>
  <c r="P27" i="1" s="1"/>
  <c r="N34" i="8"/>
  <c r="M34" i="8"/>
  <c r="J34" i="8"/>
  <c r="I34" i="8"/>
  <c r="F34" i="8"/>
  <c r="P33" i="8"/>
  <c r="M33" i="8"/>
  <c r="L33" i="8"/>
  <c r="I33" i="8"/>
  <c r="H33" i="8"/>
  <c r="P32" i="8"/>
  <c r="O32" i="8"/>
  <c r="L32" i="8"/>
  <c r="K32" i="8"/>
  <c r="H32" i="8"/>
  <c r="G32" i="8"/>
  <c r="O31" i="8"/>
  <c r="N31" i="8"/>
  <c r="K31" i="8"/>
  <c r="I31" i="8"/>
  <c r="G31" i="8"/>
  <c r="F31" i="8"/>
  <c r="P30" i="8"/>
  <c r="N30" i="8"/>
  <c r="M30" i="8"/>
  <c r="L30" i="8"/>
  <c r="I26" i="8"/>
  <c r="G24" i="8"/>
  <c r="H24" i="8" s="1"/>
  <c r="I24" i="8" s="1"/>
  <c r="J24" i="8" s="1"/>
  <c r="K24" i="8" s="1"/>
  <c r="L24" i="8" s="1"/>
  <c r="M24" i="8" s="1"/>
  <c r="N24" i="8" s="1"/>
  <c r="O24" i="8" s="1"/>
  <c r="P24" i="8" s="1"/>
  <c r="D6" i="10"/>
  <c r="E6" i="10" s="1"/>
  <c r="F6" i="10" s="1"/>
  <c r="G6" i="10" s="1"/>
  <c r="H6" i="10" s="1"/>
  <c r="I6" i="10" s="1"/>
  <c r="J6" i="10" s="1"/>
  <c r="K6" i="10" s="1"/>
  <c r="L6" i="10" s="1"/>
  <c r="M6" i="10" s="1"/>
  <c r="P16" i="8"/>
  <c r="P34" i="8" s="1"/>
  <c r="O16" i="8"/>
  <c r="O34" i="8" s="1"/>
  <c r="N16" i="8"/>
  <c r="M16" i="8"/>
  <c r="L16" i="8"/>
  <c r="L34" i="8" s="1"/>
  <c r="K16" i="8"/>
  <c r="K34" i="8" s="1"/>
  <c r="J16" i="8"/>
  <c r="I16" i="8"/>
  <c r="H16" i="8"/>
  <c r="H34" i="8" s="1"/>
  <c r="G16" i="8"/>
  <c r="G34" i="8" s="1"/>
  <c r="F16" i="8"/>
  <c r="P15" i="8"/>
  <c r="O15" i="8"/>
  <c r="O33" i="8" s="1"/>
  <c r="N15" i="8"/>
  <c r="N33" i="8" s="1"/>
  <c r="M15" i="8"/>
  <c r="L15" i="8"/>
  <c r="K15" i="8"/>
  <c r="K33" i="8" s="1"/>
  <c r="J15" i="8"/>
  <c r="J33" i="8" s="1"/>
  <c r="I15" i="8"/>
  <c r="H15" i="8"/>
  <c r="G15" i="8"/>
  <c r="G33" i="8" s="1"/>
  <c r="F15" i="8"/>
  <c r="F33" i="8" s="1"/>
  <c r="P14" i="8"/>
  <c r="O14" i="8"/>
  <c r="N14" i="8"/>
  <c r="N32" i="8" s="1"/>
  <c r="M14" i="8"/>
  <c r="M32" i="8" s="1"/>
  <c r="L14" i="8"/>
  <c r="K14" i="8"/>
  <c r="J14" i="8"/>
  <c r="J32" i="8" s="1"/>
  <c r="I14" i="8"/>
  <c r="I32" i="8" s="1"/>
  <c r="H14" i="8"/>
  <c r="G14" i="8"/>
  <c r="F14" i="8"/>
  <c r="F32" i="8" s="1"/>
  <c r="P13" i="8"/>
  <c r="P31" i="8" s="1"/>
  <c r="O13" i="8"/>
  <c r="N13" i="8"/>
  <c r="M13" i="8"/>
  <c r="M31" i="8" s="1"/>
  <c r="L13" i="8"/>
  <c r="L31" i="8" s="1"/>
  <c r="K13" i="8"/>
  <c r="J13" i="8"/>
  <c r="I13" i="8"/>
  <c r="H13" i="8"/>
  <c r="H31" i="8" s="1"/>
  <c r="G13" i="8"/>
  <c r="F13" i="8"/>
  <c r="P12" i="8"/>
  <c r="O12" i="8"/>
  <c r="O30" i="8" s="1"/>
  <c r="N12" i="8"/>
  <c r="M12" i="8"/>
  <c r="L12" i="8"/>
  <c r="K12" i="8"/>
  <c r="K30" i="8" s="1"/>
  <c r="J12" i="8"/>
  <c r="I12" i="8"/>
  <c r="I30" i="8" s="1"/>
  <c r="H12" i="8"/>
  <c r="H30" i="8" s="1"/>
  <c r="G12" i="8"/>
  <c r="G30" i="8" s="1"/>
  <c r="F12" i="8"/>
  <c r="F30" i="8" s="1"/>
  <c r="P11" i="8"/>
  <c r="P29" i="8" s="1"/>
  <c r="O11" i="8"/>
  <c r="O29" i="8" s="1"/>
  <c r="N11" i="8"/>
  <c r="N29" i="8" s="1"/>
  <c r="M11" i="8"/>
  <c r="M29" i="8" s="1"/>
  <c r="L11" i="8"/>
  <c r="L29" i="8" s="1"/>
  <c r="K11" i="8"/>
  <c r="K29" i="8" s="1"/>
  <c r="J11" i="8"/>
  <c r="J29" i="8" s="1"/>
  <c r="I11" i="8"/>
  <c r="I29" i="8" s="1"/>
  <c r="H11" i="8"/>
  <c r="H29" i="8" s="1"/>
  <c r="G11" i="8"/>
  <c r="G29" i="8" s="1"/>
  <c r="F11" i="8"/>
  <c r="F29" i="8" s="1"/>
  <c r="P10" i="8"/>
  <c r="P28" i="8" s="1"/>
  <c r="O10" i="8"/>
  <c r="O28" i="8" s="1"/>
  <c r="N10" i="8"/>
  <c r="N28" i="8" s="1"/>
  <c r="M10" i="8"/>
  <c r="M28" i="8" s="1"/>
  <c r="L10" i="8"/>
  <c r="L28" i="8" s="1"/>
  <c r="K10" i="8"/>
  <c r="K28" i="8" s="1"/>
  <c r="J10" i="8"/>
  <c r="J28" i="8" s="1"/>
  <c r="I10" i="8"/>
  <c r="I28" i="8" s="1"/>
  <c r="H10" i="8"/>
  <c r="H28" i="8" s="1"/>
  <c r="G10" i="8"/>
  <c r="G28" i="8" s="1"/>
  <c r="F10" i="8"/>
  <c r="F28" i="8" s="1"/>
  <c r="P9" i="8"/>
  <c r="P27" i="8" s="1"/>
  <c r="O9" i="8"/>
  <c r="O27" i="8" s="1"/>
  <c r="N9" i="8"/>
  <c r="N27" i="8" s="1"/>
  <c r="M9" i="8"/>
  <c r="L9" i="8"/>
  <c r="L27" i="8" s="1"/>
  <c r="K9" i="8"/>
  <c r="K27" i="8" s="1"/>
  <c r="J9" i="8"/>
  <c r="J27" i="8" s="1"/>
  <c r="I9" i="8"/>
  <c r="H9" i="8"/>
  <c r="H27" i="8" s="1"/>
  <c r="G9" i="8"/>
  <c r="G27" i="8" s="1"/>
  <c r="F9" i="8"/>
  <c r="F27" i="8" s="1"/>
  <c r="P8" i="8"/>
  <c r="O8" i="8"/>
  <c r="N8" i="8"/>
  <c r="M8" i="8"/>
  <c r="M26" i="8" s="1"/>
  <c r="L8" i="8"/>
  <c r="K8" i="8"/>
  <c r="K17" i="8" s="1"/>
  <c r="H15" i="10" s="1"/>
  <c r="J8" i="8"/>
  <c r="I8" i="8"/>
  <c r="H8" i="8"/>
  <c r="G8" i="8"/>
  <c r="F8" i="8"/>
  <c r="G6" i="8"/>
  <c r="H6" i="8" s="1"/>
  <c r="I6" i="8" s="1"/>
  <c r="J6" i="8" s="1"/>
  <c r="K6" i="8" s="1"/>
  <c r="L6" i="8" s="1"/>
  <c r="M6" i="8" s="1"/>
  <c r="N6" i="8" s="1"/>
  <c r="O6" i="8" s="1"/>
  <c r="P6" i="8" s="1"/>
  <c r="G60" i="8"/>
  <c r="H60" i="8" s="1"/>
  <c r="I60" i="8" s="1"/>
  <c r="J60" i="8" s="1"/>
  <c r="K60" i="8" s="1"/>
  <c r="L60" i="8" s="1"/>
  <c r="M60" i="8" s="1"/>
  <c r="N60" i="8" s="1"/>
  <c r="O60" i="8" s="1"/>
  <c r="P60" i="8" s="1"/>
  <c r="Q33" i="6"/>
  <c r="M13" i="10" s="1"/>
  <c r="P33" i="6"/>
  <c r="L13" i="10" s="1"/>
  <c r="O33" i="6"/>
  <c r="K13" i="10" s="1"/>
  <c r="N33" i="6"/>
  <c r="J13" i="10" s="1"/>
  <c r="M33" i="6"/>
  <c r="I13" i="10" s="1"/>
  <c r="L33" i="6"/>
  <c r="H13" i="10" s="1"/>
  <c r="K33" i="6"/>
  <c r="G13" i="10" s="1"/>
  <c r="J33" i="6"/>
  <c r="F13" i="10" s="1"/>
  <c r="I28" i="6"/>
  <c r="I33" i="6" s="1"/>
  <c r="E13" i="10" s="1"/>
  <c r="H28" i="6"/>
  <c r="H33" i="6" s="1"/>
  <c r="D13" i="10" s="1"/>
  <c r="G28" i="6"/>
  <c r="G33" i="6" s="1"/>
  <c r="C13" i="10" s="1"/>
  <c r="H46" i="10" l="1"/>
  <c r="H53" i="10" s="1"/>
  <c r="F26" i="10"/>
  <c r="I54" i="1"/>
  <c r="F44" i="10" s="1"/>
  <c r="G17" i="8"/>
  <c r="D15" i="10" s="1"/>
  <c r="G26" i="8"/>
  <c r="G35" i="8" s="1"/>
  <c r="D33" i="10" s="1"/>
  <c r="D36" i="10" s="1"/>
  <c r="O17" i="8"/>
  <c r="L15" i="10" s="1"/>
  <c r="O26" i="8"/>
  <c r="J35" i="8"/>
  <c r="G33" i="10" s="1"/>
  <c r="G36" i="10" s="1"/>
  <c r="O35" i="8"/>
  <c r="L33" i="10" s="1"/>
  <c r="L36" i="10" s="1"/>
  <c r="N35" i="8"/>
  <c r="K33" i="10" s="1"/>
  <c r="K36" i="10" s="1"/>
  <c r="K35" i="8"/>
  <c r="H33" i="10" s="1"/>
  <c r="H36" i="10" s="1"/>
  <c r="H17" i="8"/>
  <c r="E15" i="10" s="1"/>
  <c r="L17" i="8"/>
  <c r="I15" i="10" s="1"/>
  <c r="P17" i="8"/>
  <c r="M15" i="10" s="1"/>
  <c r="I17" i="8"/>
  <c r="F15" i="10" s="1"/>
  <c r="M17" i="8"/>
  <c r="J15" i="10" s="1"/>
  <c r="L26" i="8"/>
  <c r="L35" i="8" s="1"/>
  <c r="I33" i="10" s="1"/>
  <c r="I36" i="10" s="1"/>
  <c r="P26" i="8"/>
  <c r="P35" i="8" s="1"/>
  <c r="M33" i="10" s="1"/>
  <c r="M36" i="10" s="1"/>
  <c r="I27" i="8"/>
  <c r="I35" i="8" s="1"/>
  <c r="F33" i="10" s="1"/>
  <c r="F36" i="10" s="1"/>
  <c r="M27" i="8"/>
  <c r="M35" i="8" s="1"/>
  <c r="J33" i="10" s="1"/>
  <c r="J36" i="10" s="1"/>
  <c r="F17" i="8"/>
  <c r="C15" i="10" s="1"/>
  <c r="J17" i="8"/>
  <c r="G15" i="10" s="1"/>
  <c r="N17" i="8"/>
  <c r="K15" i="10" s="1"/>
  <c r="F26" i="8"/>
  <c r="F35" i="8" s="1"/>
  <c r="C33" i="10" s="1"/>
  <c r="C36" i="10" s="1"/>
  <c r="H26" i="8"/>
  <c r="H35" i="8" s="1"/>
  <c r="E33" i="10" s="1"/>
  <c r="E36" i="10" s="1"/>
  <c r="N26" i="8"/>
  <c r="F42" i="7"/>
  <c r="F148" i="7" s="1"/>
  <c r="F41" i="7"/>
  <c r="F147" i="7" s="1"/>
  <c r="F40" i="7"/>
  <c r="F146" i="7" s="1"/>
  <c r="F39" i="7"/>
  <c r="F145" i="7" s="1"/>
  <c r="F38" i="7"/>
  <c r="F144" i="7" s="1"/>
  <c r="F37" i="7"/>
  <c r="F143" i="7" s="1"/>
  <c r="F36" i="7"/>
  <c r="F142" i="7" s="1"/>
  <c r="F35" i="7"/>
  <c r="F141" i="7" s="1"/>
  <c r="F32" i="7"/>
  <c r="F138" i="7" s="1"/>
  <c r="F31" i="7"/>
  <c r="F137" i="7" s="1"/>
  <c r="F30" i="7"/>
  <c r="F27" i="7"/>
  <c r="F133" i="7" s="1"/>
  <c r="F26" i="7"/>
  <c r="F132" i="7" s="1"/>
  <c r="F25" i="7"/>
  <c r="F131" i="7" s="1"/>
  <c r="F24" i="7"/>
  <c r="F21" i="7"/>
  <c r="F127" i="7" s="1"/>
  <c r="F20" i="7"/>
  <c r="F126" i="7" s="1"/>
  <c r="F19" i="7"/>
  <c r="F125" i="7" s="1"/>
  <c r="F18" i="7"/>
  <c r="F15" i="7"/>
  <c r="F121" i="7" s="1"/>
  <c r="F14" i="7"/>
  <c r="F120" i="7" s="1"/>
  <c r="F13" i="7"/>
  <c r="F119" i="7" s="1"/>
  <c r="F12" i="7"/>
  <c r="F118" i="7" s="1"/>
  <c r="F11" i="7"/>
  <c r="F117" i="7" s="1"/>
  <c r="F10" i="7"/>
  <c r="F116" i="7" s="1"/>
  <c r="F9" i="7"/>
  <c r="F115" i="7" s="1"/>
  <c r="P42" i="7"/>
  <c r="P148" i="7" s="1"/>
  <c r="O42" i="7"/>
  <c r="O148" i="7" s="1"/>
  <c r="N42" i="7"/>
  <c r="N148" i="7" s="1"/>
  <c r="M42" i="7"/>
  <c r="M148" i="7" s="1"/>
  <c r="L42" i="7"/>
  <c r="L148" i="7" s="1"/>
  <c r="K42" i="7"/>
  <c r="K148" i="7" s="1"/>
  <c r="J42" i="7"/>
  <c r="J148" i="7" s="1"/>
  <c r="I42" i="7"/>
  <c r="I148" i="7" s="1"/>
  <c r="H42" i="7"/>
  <c r="H148" i="7" s="1"/>
  <c r="G42" i="7"/>
  <c r="G148" i="7" s="1"/>
  <c r="P41" i="7"/>
  <c r="P147" i="7" s="1"/>
  <c r="O41" i="7"/>
  <c r="O147" i="7" s="1"/>
  <c r="N41" i="7"/>
  <c r="N147" i="7" s="1"/>
  <c r="M41" i="7"/>
  <c r="M147" i="7" s="1"/>
  <c r="L41" i="7"/>
  <c r="L147" i="7" s="1"/>
  <c r="K41" i="7"/>
  <c r="K147" i="7" s="1"/>
  <c r="J41" i="7"/>
  <c r="I41" i="7"/>
  <c r="I147" i="7" s="1"/>
  <c r="H41" i="7"/>
  <c r="H147" i="7" s="1"/>
  <c r="G41" i="7"/>
  <c r="G147" i="7" s="1"/>
  <c r="P40" i="7"/>
  <c r="P146" i="7" s="1"/>
  <c r="O40" i="7"/>
  <c r="O146" i="7" s="1"/>
  <c r="N40" i="7"/>
  <c r="N146" i="7" s="1"/>
  <c r="M40" i="7"/>
  <c r="M146" i="7" s="1"/>
  <c r="L40" i="7"/>
  <c r="L146" i="7" s="1"/>
  <c r="K40" i="7"/>
  <c r="K146" i="7" s="1"/>
  <c r="J40" i="7"/>
  <c r="J146" i="7" s="1"/>
  <c r="I40" i="7"/>
  <c r="I146" i="7" s="1"/>
  <c r="H40" i="7"/>
  <c r="H146" i="7" s="1"/>
  <c r="G40" i="7"/>
  <c r="G146" i="7" s="1"/>
  <c r="P39" i="7"/>
  <c r="P145" i="7" s="1"/>
  <c r="O39" i="7"/>
  <c r="O145" i="7" s="1"/>
  <c r="N39" i="7"/>
  <c r="N145" i="7" s="1"/>
  <c r="M39" i="7"/>
  <c r="M145" i="7" s="1"/>
  <c r="L39" i="7"/>
  <c r="L145" i="7" s="1"/>
  <c r="K39" i="7"/>
  <c r="K145" i="7" s="1"/>
  <c r="J39" i="7"/>
  <c r="I39" i="7"/>
  <c r="I145" i="7" s="1"/>
  <c r="H39" i="7"/>
  <c r="H145" i="7" s="1"/>
  <c r="G39" i="7"/>
  <c r="G145" i="7" s="1"/>
  <c r="P38" i="7"/>
  <c r="P144" i="7" s="1"/>
  <c r="O38" i="7"/>
  <c r="O144" i="7" s="1"/>
  <c r="N38" i="7"/>
  <c r="N144" i="7" s="1"/>
  <c r="M38" i="7"/>
  <c r="M144" i="7" s="1"/>
  <c r="L38" i="7"/>
  <c r="L144" i="7" s="1"/>
  <c r="K38" i="7"/>
  <c r="K144" i="7" s="1"/>
  <c r="J38" i="7"/>
  <c r="J144" i="7" s="1"/>
  <c r="I38" i="7"/>
  <c r="I144" i="7" s="1"/>
  <c r="H38" i="7"/>
  <c r="H144" i="7" s="1"/>
  <c r="G38" i="7"/>
  <c r="G144" i="7" s="1"/>
  <c r="P37" i="7"/>
  <c r="O37" i="7"/>
  <c r="N37" i="7"/>
  <c r="M37" i="7"/>
  <c r="L37" i="7"/>
  <c r="K37" i="7"/>
  <c r="J37" i="7"/>
  <c r="I37" i="7"/>
  <c r="I143" i="7" s="1"/>
  <c r="H37" i="7"/>
  <c r="H143" i="7" s="1"/>
  <c r="G37" i="7"/>
  <c r="G143" i="7" s="1"/>
  <c r="P36" i="7"/>
  <c r="P142" i="7" s="1"/>
  <c r="O36" i="7"/>
  <c r="O142" i="7" s="1"/>
  <c r="N36" i="7"/>
  <c r="N142" i="7" s="1"/>
  <c r="M36" i="7"/>
  <c r="M142" i="7" s="1"/>
  <c r="L36" i="7"/>
  <c r="L142" i="7" s="1"/>
  <c r="K36" i="7"/>
  <c r="K142" i="7" s="1"/>
  <c r="J36" i="7"/>
  <c r="I36" i="7"/>
  <c r="I142" i="7" s="1"/>
  <c r="H36" i="7"/>
  <c r="H142" i="7" s="1"/>
  <c r="G36" i="7"/>
  <c r="G142" i="7" s="1"/>
  <c r="P35" i="7"/>
  <c r="P141" i="7" s="1"/>
  <c r="O35" i="7"/>
  <c r="O141" i="7" s="1"/>
  <c r="N35" i="7"/>
  <c r="N141" i="7" s="1"/>
  <c r="M35" i="7"/>
  <c r="M141" i="7" s="1"/>
  <c r="L35" i="7"/>
  <c r="L141" i="7" s="1"/>
  <c r="K35" i="7"/>
  <c r="K141" i="7" s="1"/>
  <c r="J35" i="7"/>
  <c r="I35" i="7"/>
  <c r="I141" i="7" s="1"/>
  <c r="H35" i="7"/>
  <c r="H141" i="7" s="1"/>
  <c r="G35" i="7"/>
  <c r="G141" i="7" s="1"/>
  <c r="P32" i="7"/>
  <c r="P138" i="7" s="1"/>
  <c r="O32" i="7"/>
  <c r="O138" i="7" s="1"/>
  <c r="N32" i="7"/>
  <c r="N138" i="7" s="1"/>
  <c r="M32" i="7"/>
  <c r="M138" i="7" s="1"/>
  <c r="L32" i="7"/>
  <c r="L138" i="7" s="1"/>
  <c r="K32" i="7"/>
  <c r="K138" i="7" s="1"/>
  <c r="J32" i="7"/>
  <c r="I32" i="7"/>
  <c r="I138" i="7" s="1"/>
  <c r="H32" i="7"/>
  <c r="H138" i="7" s="1"/>
  <c r="G32" i="7"/>
  <c r="G138" i="7" s="1"/>
  <c r="P31" i="7"/>
  <c r="P137" i="7" s="1"/>
  <c r="O31" i="7"/>
  <c r="O137" i="7" s="1"/>
  <c r="N31" i="7"/>
  <c r="N137" i="7" s="1"/>
  <c r="M31" i="7"/>
  <c r="M137" i="7" s="1"/>
  <c r="L31" i="7"/>
  <c r="L137" i="7" s="1"/>
  <c r="K31" i="7"/>
  <c r="K137" i="7" s="1"/>
  <c r="J31" i="7"/>
  <c r="I31" i="7"/>
  <c r="I137" i="7" s="1"/>
  <c r="H31" i="7"/>
  <c r="H137" i="7" s="1"/>
  <c r="G31" i="7"/>
  <c r="G137" i="7" s="1"/>
  <c r="P30" i="7"/>
  <c r="O30" i="7"/>
  <c r="N30" i="7"/>
  <c r="N136" i="7" s="1"/>
  <c r="M30" i="7"/>
  <c r="M136" i="7" s="1"/>
  <c r="L30" i="7"/>
  <c r="K30" i="7"/>
  <c r="J30" i="7"/>
  <c r="I30" i="7"/>
  <c r="I136" i="7" s="1"/>
  <c r="H30" i="7"/>
  <c r="G30" i="7"/>
  <c r="P27" i="7"/>
  <c r="P133" i="7" s="1"/>
  <c r="O27" i="7"/>
  <c r="O133" i="7" s="1"/>
  <c r="N27" i="7"/>
  <c r="N133" i="7" s="1"/>
  <c r="M27" i="7"/>
  <c r="M133" i="7" s="1"/>
  <c r="L27" i="7"/>
  <c r="L133" i="7" s="1"/>
  <c r="K27" i="7"/>
  <c r="K133" i="7" s="1"/>
  <c r="I27" i="7"/>
  <c r="I133" i="7" s="1"/>
  <c r="H27" i="7"/>
  <c r="H133" i="7" s="1"/>
  <c r="G27" i="7"/>
  <c r="G133" i="7" s="1"/>
  <c r="P26" i="7"/>
  <c r="P132" i="7" s="1"/>
  <c r="O26" i="7"/>
  <c r="O132" i="7" s="1"/>
  <c r="N26" i="7"/>
  <c r="N132" i="7" s="1"/>
  <c r="M26" i="7"/>
  <c r="M132" i="7" s="1"/>
  <c r="L26" i="7"/>
  <c r="L132" i="7" s="1"/>
  <c r="K26" i="7"/>
  <c r="K132" i="7" s="1"/>
  <c r="I26" i="7"/>
  <c r="I132" i="7" s="1"/>
  <c r="H26" i="7"/>
  <c r="H132" i="7" s="1"/>
  <c r="G26" i="7"/>
  <c r="G132" i="7" s="1"/>
  <c r="P25" i="7"/>
  <c r="P131" i="7" s="1"/>
  <c r="O25" i="7"/>
  <c r="O131" i="7" s="1"/>
  <c r="N25" i="7"/>
  <c r="N131" i="7" s="1"/>
  <c r="M25" i="7"/>
  <c r="M131" i="7" s="1"/>
  <c r="L25" i="7"/>
  <c r="L131" i="7" s="1"/>
  <c r="K25" i="7"/>
  <c r="K131" i="7" s="1"/>
  <c r="I25" i="7"/>
  <c r="I131" i="7" s="1"/>
  <c r="H25" i="7"/>
  <c r="H131" i="7" s="1"/>
  <c r="G25" i="7"/>
  <c r="G131" i="7" s="1"/>
  <c r="P24" i="7"/>
  <c r="O24" i="7"/>
  <c r="N24" i="7"/>
  <c r="N130" i="7" s="1"/>
  <c r="M24" i="7"/>
  <c r="M130" i="7" s="1"/>
  <c r="L24" i="7"/>
  <c r="K24" i="7"/>
  <c r="I24" i="7"/>
  <c r="I130" i="7" s="1"/>
  <c r="H24" i="7"/>
  <c r="G24" i="7"/>
  <c r="P21" i="7"/>
  <c r="P127" i="7" s="1"/>
  <c r="O21" i="7"/>
  <c r="O127" i="7" s="1"/>
  <c r="N21" i="7"/>
  <c r="N127" i="7" s="1"/>
  <c r="M21" i="7"/>
  <c r="M127" i="7" s="1"/>
  <c r="L21" i="7"/>
  <c r="L127" i="7" s="1"/>
  <c r="K21" i="7"/>
  <c r="K127" i="7" s="1"/>
  <c r="J21" i="7"/>
  <c r="J127" i="7" s="1"/>
  <c r="I21" i="7"/>
  <c r="I127" i="7" s="1"/>
  <c r="H21" i="7"/>
  <c r="H127" i="7" s="1"/>
  <c r="G21" i="7"/>
  <c r="G127" i="7" s="1"/>
  <c r="P20" i="7"/>
  <c r="P126" i="7" s="1"/>
  <c r="O20" i="7"/>
  <c r="O126" i="7" s="1"/>
  <c r="N20" i="7"/>
  <c r="N126" i="7" s="1"/>
  <c r="M20" i="7"/>
  <c r="M126" i="7" s="1"/>
  <c r="L20" i="7"/>
  <c r="L126" i="7" s="1"/>
  <c r="K20" i="7"/>
  <c r="K126" i="7" s="1"/>
  <c r="J20" i="7"/>
  <c r="J126" i="7" s="1"/>
  <c r="I20" i="7"/>
  <c r="I126" i="7" s="1"/>
  <c r="H20" i="7"/>
  <c r="H126" i="7" s="1"/>
  <c r="G20" i="7"/>
  <c r="G126" i="7" s="1"/>
  <c r="P19" i="7"/>
  <c r="P125" i="7" s="1"/>
  <c r="O19" i="7"/>
  <c r="O125" i="7" s="1"/>
  <c r="N19" i="7"/>
  <c r="N125" i="7" s="1"/>
  <c r="M19" i="7"/>
  <c r="M125" i="7" s="1"/>
  <c r="L19" i="7"/>
  <c r="L125" i="7" s="1"/>
  <c r="K19" i="7"/>
  <c r="K125" i="7" s="1"/>
  <c r="J19" i="7"/>
  <c r="J125" i="7" s="1"/>
  <c r="I19" i="7"/>
  <c r="I125" i="7" s="1"/>
  <c r="H19" i="7"/>
  <c r="H125" i="7" s="1"/>
  <c r="G19" i="7"/>
  <c r="G125" i="7" s="1"/>
  <c r="P18" i="7"/>
  <c r="O18" i="7"/>
  <c r="O124" i="7" s="1"/>
  <c r="N18" i="7"/>
  <c r="N124" i="7" s="1"/>
  <c r="M18" i="7"/>
  <c r="M124" i="7" s="1"/>
  <c r="M128" i="7" s="1"/>
  <c r="L18" i="7"/>
  <c r="K18" i="7"/>
  <c r="K124" i="7" s="1"/>
  <c r="J18" i="7"/>
  <c r="J124" i="7" s="1"/>
  <c r="I18" i="7"/>
  <c r="I124" i="7" s="1"/>
  <c r="I128" i="7" s="1"/>
  <c r="H18" i="7"/>
  <c r="G18" i="7"/>
  <c r="G124" i="7" s="1"/>
  <c r="G128" i="7" s="1"/>
  <c r="P15" i="7"/>
  <c r="P121" i="7" s="1"/>
  <c r="O15" i="7"/>
  <c r="O121" i="7" s="1"/>
  <c r="N15" i="7"/>
  <c r="N121" i="7" s="1"/>
  <c r="M15" i="7"/>
  <c r="M121" i="7" s="1"/>
  <c r="L15" i="7"/>
  <c r="L121" i="7" s="1"/>
  <c r="K15" i="7"/>
  <c r="K121" i="7" s="1"/>
  <c r="J15" i="7"/>
  <c r="J121" i="7" s="1"/>
  <c r="I15" i="7"/>
  <c r="I121" i="7" s="1"/>
  <c r="H15" i="7"/>
  <c r="H121" i="7" s="1"/>
  <c r="G15" i="7"/>
  <c r="G121" i="7" s="1"/>
  <c r="P14" i="7"/>
  <c r="P120" i="7" s="1"/>
  <c r="O14" i="7"/>
  <c r="O120" i="7" s="1"/>
  <c r="N14" i="7"/>
  <c r="N120" i="7" s="1"/>
  <c r="M14" i="7"/>
  <c r="M120" i="7" s="1"/>
  <c r="L14" i="7"/>
  <c r="L120" i="7" s="1"/>
  <c r="K14" i="7"/>
  <c r="K120" i="7" s="1"/>
  <c r="J14" i="7"/>
  <c r="J120" i="7" s="1"/>
  <c r="I14" i="7"/>
  <c r="I120" i="7" s="1"/>
  <c r="H14" i="7"/>
  <c r="H120" i="7" s="1"/>
  <c r="G14" i="7"/>
  <c r="G120" i="7" s="1"/>
  <c r="P13" i="7"/>
  <c r="P119" i="7" s="1"/>
  <c r="O13" i="7"/>
  <c r="O119" i="7" s="1"/>
  <c r="N13" i="7"/>
  <c r="N119" i="7" s="1"/>
  <c r="M13" i="7"/>
  <c r="M119" i="7" s="1"/>
  <c r="L13" i="7"/>
  <c r="L119" i="7" s="1"/>
  <c r="K13" i="7"/>
  <c r="K119" i="7" s="1"/>
  <c r="J13" i="7"/>
  <c r="J119" i="7" s="1"/>
  <c r="I13" i="7"/>
  <c r="I119" i="7" s="1"/>
  <c r="H13" i="7"/>
  <c r="H119" i="7" s="1"/>
  <c r="G13" i="7"/>
  <c r="G119" i="7" s="1"/>
  <c r="P12" i="7"/>
  <c r="P118" i="7" s="1"/>
  <c r="O12" i="7"/>
  <c r="O118" i="7" s="1"/>
  <c r="N12" i="7"/>
  <c r="N118" i="7" s="1"/>
  <c r="M12" i="7"/>
  <c r="M118" i="7" s="1"/>
  <c r="L12" i="7"/>
  <c r="L118" i="7" s="1"/>
  <c r="K12" i="7"/>
  <c r="K118" i="7" s="1"/>
  <c r="J12" i="7"/>
  <c r="J118" i="7" s="1"/>
  <c r="I12" i="7"/>
  <c r="I118" i="7" s="1"/>
  <c r="H12" i="7"/>
  <c r="H118" i="7" s="1"/>
  <c r="G12" i="7"/>
  <c r="G118" i="7" s="1"/>
  <c r="P11" i="7"/>
  <c r="P117" i="7" s="1"/>
  <c r="O11" i="7"/>
  <c r="O117" i="7" s="1"/>
  <c r="N11" i="7"/>
  <c r="N117" i="7" s="1"/>
  <c r="M11" i="7"/>
  <c r="M117" i="7" s="1"/>
  <c r="L11" i="7"/>
  <c r="L117" i="7" s="1"/>
  <c r="K11" i="7"/>
  <c r="K117" i="7" s="1"/>
  <c r="J11" i="7"/>
  <c r="J117" i="7" s="1"/>
  <c r="I11" i="7"/>
  <c r="I117" i="7" s="1"/>
  <c r="H11" i="7"/>
  <c r="H117" i="7" s="1"/>
  <c r="G11" i="7"/>
  <c r="G117" i="7" s="1"/>
  <c r="P10" i="7"/>
  <c r="P116" i="7" s="1"/>
  <c r="P122" i="7" s="1"/>
  <c r="O10" i="7"/>
  <c r="O116" i="7" s="1"/>
  <c r="N10" i="7"/>
  <c r="N116" i="7" s="1"/>
  <c r="M10" i="7"/>
  <c r="M116" i="7" s="1"/>
  <c r="L10" i="7"/>
  <c r="L116" i="7" s="1"/>
  <c r="L122" i="7" s="1"/>
  <c r="K10" i="7"/>
  <c r="K116" i="7" s="1"/>
  <c r="J10" i="7"/>
  <c r="J116" i="7" s="1"/>
  <c r="I10" i="7"/>
  <c r="I116" i="7" s="1"/>
  <c r="H10" i="7"/>
  <c r="H116" i="7" s="1"/>
  <c r="G10" i="7"/>
  <c r="G116" i="7" s="1"/>
  <c r="P9" i="7"/>
  <c r="P115" i="7" s="1"/>
  <c r="O9" i="7"/>
  <c r="O115" i="7" s="1"/>
  <c r="O122" i="7" s="1"/>
  <c r="N9" i="7"/>
  <c r="M9" i="7"/>
  <c r="L9" i="7"/>
  <c r="L115" i="7" s="1"/>
  <c r="K9" i="7"/>
  <c r="K115" i="7" s="1"/>
  <c r="J9" i="7"/>
  <c r="I9" i="7"/>
  <c r="H9" i="7"/>
  <c r="H115" i="7" s="1"/>
  <c r="G9" i="7"/>
  <c r="G115" i="7" s="1"/>
  <c r="P7" i="7"/>
  <c r="P113" i="7" s="1"/>
  <c r="P162" i="7" s="1"/>
  <c r="O7" i="7"/>
  <c r="O113" i="7" s="1"/>
  <c r="O162" i="7" s="1"/>
  <c r="N7" i="7"/>
  <c r="N113" i="7" s="1"/>
  <c r="N162" i="7" s="1"/>
  <c r="M7" i="7"/>
  <c r="M113" i="7" s="1"/>
  <c r="M162" i="7" s="1"/>
  <c r="L7" i="7"/>
  <c r="K7" i="7"/>
  <c r="J7" i="7"/>
  <c r="I7" i="7"/>
  <c r="I113" i="7" s="1"/>
  <c r="I162" i="7" s="1"/>
  <c r="H7" i="7"/>
  <c r="H113" i="7" s="1"/>
  <c r="H162" i="7" s="1"/>
  <c r="G7" i="7"/>
  <c r="G113" i="7" s="1"/>
  <c r="G162" i="7" s="1"/>
  <c r="F7" i="7"/>
  <c r="F113" i="7" s="1"/>
  <c r="F162" i="7" s="1"/>
  <c r="H52" i="10" l="1"/>
  <c r="H37" i="10"/>
  <c r="F46" i="10"/>
  <c r="F53" i="10" s="1"/>
  <c r="E37" i="10"/>
  <c r="L37" i="10"/>
  <c r="F37" i="10"/>
  <c r="M37" i="10"/>
  <c r="K37" i="10"/>
  <c r="I37" i="10"/>
  <c r="D37" i="10"/>
  <c r="J37" i="10"/>
  <c r="G37" i="10"/>
  <c r="M134" i="7"/>
  <c r="J128" i="7"/>
  <c r="N128" i="7"/>
  <c r="I16" i="7"/>
  <c r="I115" i="7"/>
  <c r="I122" i="7" s="1"/>
  <c r="M16" i="7"/>
  <c r="M115" i="7"/>
  <c r="M122" i="7" s="1"/>
  <c r="G122" i="7"/>
  <c r="K122" i="7"/>
  <c r="K128" i="7"/>
  <c r="O128" i="7"/>
  <c r="G28" i="7"/>
  <c r="G130" i="7"/>
  <c r="L28" i="7"/>
  <c r="L130" i="7"/>
  <c r="P28" i="7"/>
  <c r="P130" i="7"/>
  <c r="G33" i="7"/>
  <c r="G136" i="7"/>
  <c r="G139" i="7" s="1"/>
  <c r="K33" i="7"/>
  <c r="K136" i="7"/>
  <c r="K139" i="7" s="1"/>
  <c r="O33" i="7"/>
  <c r="O136" i="7"/>
  <c r="O139" i="7" s="1"/>
  <c r="J16" i="7"/>
  <c r="J115" i="7"/>
  <c r="J122" i="7" s="1"/>
  <c r="N16" i="7"/>
  <c r="N115" i="7"/>
  <c r="N122" i="7" s="1"/>
  <c r="L22" i="7"/>
  <c r="L124" i="7"/>
  <c r="L128" i="7" s="1"/>
  <c r="H28" i="7"/>
  <c r="H130" i="7"/>
  <c r="H134" i="7" s="1"/>
  <c r="G134" i="7"/>
  <c r="H33" i="7"/>
  <c r="H136" i="7"/>
  <c r="L33" i="7"/>
  <c r="L136" i="7"/>
  <c r="P33" i="7"/>
  <c r="P136" i="7"/>
  <c r="F22" i="7"/>
  <c r="F124" i="7"/>
  <c r="F128" i="7" s="1"/>
  <c r="F28" i="7"/>
  <c r="F130" i="7"/>
  <c r="F134" i="7" s="1"/>
  <c r="F33" i="7"/>
  <c r="F136" i="7"/>
  <c r="F139" i="7" s="1"/>
  <c r="I134" i="7"/>
  <c r="N134" i="7"/>
  <c r="L134" i="7"/>
  <c r="P134" i="7"/>
  <c r="I139" i="7"/>
  <c r="I149" i="7" s="1"/>
  <c r="I161" i="7" s="1"/>
  <c r="M139" i="7"/>
  <c r="M149" i="7" s="1"/>
  <c r="M161" i="7" s="1"/>
  <c r="F122" i="7"/>
  <c r="H22" i="7"/>
  <c r="H124" i="7"/>
  <c r="H128" i="7" s="1"/>
  <c r="P22" i="7"/>
  <c r="P124" i="7"/>
  <c r="P128" i="7" s="1"/>
  <c r="H122" i="7"/>
  <c r="K28" i="7"/>
  <c r="K130" i="7"/>
  <c r="K134" i="7" s="1"/>
  <c r="O28" i="7"/>
  <c r="O130" i="7"/>
  <c r="O134" i="7" s="1"/>
  <c r="N139" i="7"/>
  <c r="N149" i="7" s="1"/>
  <c r="N161" i="7" s="1"/>
  <c r="H139" i="7"/>
  <c r="L139" i="7"/>
  <c r="L149" i="7" s="1"/>
  <c r="L161" i="7" s="1"/>
  <c r="P139" i="7"/>
  <c r="J149" i="7"/>
  <c r="J161" i="7" s="1"/>
  <c r="G16" i="7"/>
  <c r="K16" i="7"/>
  <c r="O16" i="7"/>
  <c r="I22" i="7"/>
  <c r="M22" i="7"/>
  <c r="G22" i="7"/>
  <c r="K22" i="7"/>
  <c r="K43" i="7" s="1"/>
  <c r="H14" i="10" s="1"/>
  <c r="O22" i="7"/>
  <c r="I28" i="7"/>
  <c r="M28" i="7"/>
  <c r="I33" i="7"/>
  <c r="I43" i="7" s="1"/>
  <c r="F14" i="10" s="1"/>
  <c r="M33" i="7"/>
  <c r="H16" i="7"/>
  <c r="H43" i="7" s="1"/>
  <c r="E14" i="10" s="1"/>
  <c r="L16" i="7"/>
  <c r="L43" i="7" s="1"/>
  <c r="I14" i="10" s="1"/>
  <c r="P16" i="7"/>
  <c r="P43" i="7" s="1"/>
  <c r="M14" i="10" s="1"/>
  <c r="J22" i="7"/>
  <c r="N22" i="7"/>
  <c r="J28" i="7"/>
  <c r="N28" i="7"/>
  <c r="J33" i="7"/>
  <c r="N33" i="7"/>
  <c r="F16" i="7"/>
  <c r="F43" i="7" s="1"/>
  <c r="C14" i="10" s="1"/>
  <c r="P36" i="5"/>
  <c r="M12" i="10" s="1"/>
  <c r="O36" i="5"/>
  <c r="L12" i="10" s="1"/>
  <c r="N36" i="5"/>
  <c r="K12" i="10" s="1"/>
  <c r="M36" i="5"/>
  <c r="J12" i="10" s="1"/>
  <c r="L36" i="5"/>
  <c r="I12" i="10" s="1"/>
  <c r="K36" i="5"/>
  <c r="H12" i="10" s="1"/>
  <c r="J36" i="5"/>
  <c r="G12" i="10" s="1"/>
  <c r="I36" i="5"/>
  <c r="F12" i="10" s="1"/>
  <c r="H36" i="5"/>
  <c r="E12" i="10" s="1"/>
  <c r="G36" i="5"/>
  <c r="D12" i="10" s="1"/>
  <c r="F36" i="5"/>
  <c r="C12" i="10" s="1"/>
  <c r="P35" i="5"/>
  <c r="P104" i="5" s="1"/>
  <c r="O35" i="5"/>
  <c r="O104" i="5" s="1"/>
  <c r="N35" i="5"/>
  <c r="N104" i="5" s="1"/>
  <c r="M35" i="5"/>
  <c r="M104" i="5" s="1"/>
  <c r="L35" i="5"/>
  <c r="L104" i="5" s="1"/>
  <c r="K35" i="5"/>
  <c r="K104" i="5" s="1"/>
  <c r="J35" i="5"/>
  <c r="I35" i="5"/>
  <c r="I104" i="5" s="1"/>
  <c r="H35" i="5"/>
  <c r="H104" i="5" s="1"/>
  <c r="G35" i="5"/>
  <c r="G104" i="5" s="1"/>
  <c r="F35" i="5"/>
  <c r="F104" i="5" s="1"/>
  <c r="P34" i="5"/>
  <c r="O34" i="5"/>
  <c r="N34" i="5"/>
  <c r="M34" i="5"/>
  <c r="L34" i="5"/>
  <c r="K34" i="5"/>
  <c r="J34" i="5"/>
  <c r="I34" i="5"/>
  <c r="H34" i="5"/>
  <c r="G34" i="5"/>
  <c r="F34" i="5"/>
  <c r="P33" i="5"/>
  <c r="P102" i="5" s="1"/>
  <c r="O33" i="5"/>
  <c r="O102" i="5" s="1"/>
  <c r="N33" i="5"/>
  <c r="N102" i="5" s="1"/>
  <c r="M33" i="5"/>
  <c r="M102" i="5" s="1"/>
  <c r="L33" i="5"/>
  <c r="L102" i="5" s="1"/>
  <c r="K33" i="5"/>
  <c r="K102" i="5" s="1"/>
  <c r="J33" i="5"/>
  <c r="I33" i="5"/>
  <c r="I102" i="5" s="1"/>
  <c r="H33" i="5"/>
  <c r="H102" i="5" s="1"/>
  <c r="G33" i="5"/>
  <c r="G102" i="5" s="1"/>
  <c r="F33" i="5"/>
  <c r="F102" i="5" s="1"/>
  <c r="P32" i="5"/>
  <c r="P101" i="5" s="1"/>
  <c r="O32" i="5"/>
  <c r="O101" i="5" s="1"/>
  <c r="N32" i="5"/>
  <c r="N101" i="5" s="1"/>
  <c r="M32" i="5"/>
  <c r="M101" i="5" s="1"/>
  <c r="L32" i="5"/>
  <c r="L101" i="5" s="1"/>
  <c r="K32" i="5"/>
  <c r="K101" i="5" s="1"/>
  <c r="J32" i="5"/>
  <c r="I32" i="5"/>
  <c r="I101" i="5" s="1"/>
  <c r="H32" i="5"/>
  <c r="H101" i="5" s="1"/>
  <c r="G32" i="5"/>
  <c r="G101" i="5" s="1"/>
  <c r="F32" i="5"/>
  <c r="F101" i="5" s="1"/>
  <c r="P31" i="5"/>
  <c r="P100" i="5" s="1"/>
  <c r="O31" i="5"/>
  <c r="O100" i="5" s="1"/>
  <c r="N31" i="5"/>
  <c r="N100" i="5" s="1"/>
  <c r="M31" i="5"/>
  <c r="M100" i="5" s="1"/>
  <c r="L31" i="5"/>
  <c r="L100" i="5" s="1"/>
  <c r="K31" i="5"/>
  <c r="K100" i="5" s="1"/>
  <c r="J31" i="5"/>
  <c r="I31" i="5"/>
  <c r="I100" i="5" s="1"/>
  <c r="H31" i="5"/>
  <c r="H100" i="5" s="1"/>
  <c r="G31" i="5"/>
  <c r="G100" i="5" s="1"/>
  <c r="F31" i="5"/>
  <c r="F100" i="5" s="1"/>
  <c r="P30" i="5"/>
  <c r="O30" i="5"/>
  <c r="N30" i="5"/>
  <c r="M30" i="5"/>
  <c r="L30" i="5"/>
  <c r="K30" i="5"/>
  <c r="J30" i="5"/>
  <c r="I30" i="5"/>
  <c r="I99" i="5" s="1"/>
  <c r="H30" i="5"/>
  <c r="H99" i="5" s="1"/>
  <c r="G30" i="5"/>
  <c r="G99" i="5" s="1"/>
  <c r="F30" i="5"/>
  <c r="F99" i="5" s="1"/>
  <c r="P29" i="5"/>
  <c r="P98" i="5" s="1"/>
  <c r="O29" i="5"/>
  <c r="O98" i="5" s="1"/>
  <c r="N29" i="5"/>
  <c r="N98" i="5" s="1"/>
  <c r="M29" i="5"/>
  <c r="M98" i="5" s="1"/>
  <c r="L29" i="5"/>
  <c r="L98" i="5" s="1"/>
  <c r="K29" i="5"/>
  <c r="K98" i="5" s="1"/>
  <c r="J29" i="5"/>
  <c r="I29" i="5"/>
  <c r="I98" i="5" s="1"/>
  <c r="H29" i="5"/>
  <c r="H98" i="5" s="1"/>
  <c r="G29" i="5"/>
  <c r="G98" i="5" s="1"/>
  <c r="F29" i="5"/>
  <c r="F98" i="5" s="1"/>
  <c r="P28" i="5"/>
  <c r="P97" i="5" s="1"/>
  <c r="O28" i="5"/>
  <c r="O97" i="5" s="1"/>
  <c r="N28" i="5"/>
  <c r="N97" i="5" s="1"/>
  <c r="M28" i="5"/>
  <c r="M97" i="5" s="1"/>
  <c r="L28" i="5"/>
  <c r="L97" i="5" s="1"/>
  <c r="K28" i="5"/>
  <c r="K97" i="5" s="1"/>
  <c r="J28" i="5"/>
  <c r="I28" i="5"/>
  <c r="I97" i="5" s="1"/>
  <c r="H28" i="5"/>
  <c r="H97" i="5" s="1"/>
  <c r="G28" i="5"/>
  <c r="G97" i="5" s="1"/>
  <c r="F28" i="5"/>
  <c r="F97" i="5" s="1"/>
  <c r="P27" i="5"/>
  <c r="P96" i="5" s="1"/>
  <c r="O27" i="5"/>
  <c r="O96" i="5" s="1"/>
  <c r="N27" i="5"/>
  <c r="N96" i="5" s="1"/>
  <c r="M27" i="5"/>
  <c r="M96" i="5" s="1"/>
  <c r="L27" i="5"/>
  <c r="L96" i="5" s="1"/>
  <c r="K27" i="5"/>
  <c r="K96" i="5" s="1"/>
  <c r="J27" i="5"/>
  <c r="I27" i="5"/>
  <c r="I96" i="5" s="1"/>
  <c r="H27" i="5"/>
  <c r="H96" i="5" s="1"/>
  <c r="G27" i="5"/>
  <c r="G96" i="5" s="1"/>
  <c r="F27" i="5"/>
  <c r="F96" i="5" s="1"/>
  <c r="P26" i="5"/>
  <c r="P95" i="5" s="1"/>
  <c r="O26" i="5"/>
  <c r="O95" i="5" s="1"/>
  <c r="N26" i="5"/>
  <c r="N95" i="5" s="1"/>
  <c r="M26" i="5"/>
  <c r="M95" i="5" s="1"/>
  <c r="L26" i="5"/>
  <c r="L95" i="5" s="1"/>
  <c r="K26" i="5"/>
  <c r="K95" i="5" s="1"/>
  <c r="J26" i="5"/>
  <c r="I26" i="5"/>
  <c r="I95" i="5" s="1"/>
  <c r="H26" i="5"/>
  <c r="H95" i="5" s="1"/>
  <c r="G26" i="5"/>
  <c r="G95" i="5" s="1"/>
  <c r="F26" i="5"/>
  <c r="F95" i="5" s="1"/>
  <c r="P25" i="5"/>
  <c r="P94" i="5" s="1"/>
  <c r="O25" i="5"/>
  <c r="O94" i="5" s="1"/>
  <c r="N25" i="5"/>
  <c r="N94" i="5" s="1"/>
  <c r="M25" i="5"/>
  <c r="M94" i="5" s="1"/>
  <c r="L25" i="5"/>
  <c r="L94" i="5" s="1"/>
  <c r="K25" i="5"/>
  <c r="K94" i="5" s="1"/>
  <c r="J25" i="5"/>
  <c r="I25" i="5"/>
  <c r="I94" i="5" s="1"/>
  <c r="H25" i="5"/>
  <c r="H94" i="5" s="1"/>
  <c r="G25" i="5"/>
  <c r="G94" i="5" s="1"/>
  <c r="F25" i="5"/>
  <c r="F94" i="5" s="1"/>
  <c r="P24" i="5"/>
  <c r="P93" i="5" s="1"/>
  <c r="O24" i="5"/>
  <c r="O93" i="5" s="1"/>
  <c r="N24" i="5"/>
  <c r="N93" i="5" s="1"/>
  <c r="M24" i="5"/>
  <c r="M93" i="5" s="1"/>
  <c r="L24" i="5"/>
  <c r="L93" i="5" s="1"/>
  <c r="K24" i="5"/>
  <c r="J24" i="5"/>
  <c r="I24" i="5"/>
  <c r="I93" i="5" s="1"/>
  <c r="H24" i="5"/>
  <c r="H93" i="5" s="1"/>
  <c r="G24" i="5"/>
  <c r="G93" i="5" s="1"/>
  <c r="F24" i="5"/>
  <c r="F93" i="5" s="1"/>
  <c r="P23" i="5"/>
  <c r="P92" i="5" s="1"/>
  <c r="O23" i="5"/>
  <c r="O92" i="5" s="1"/>
  <c r="N23" i="5"/>
  <c r="N92" i="5" s="1"/>
  <c r="M23" i="5"/>
  <c r="L23" i="5"/>
  <c r="K23" i="5"/>
  <c r="J23" i="5"/>
  <c r="I23" i="5"/>
  <c r="I92" i="5" s="1"/>
  <c r="H23" i="5"/>
  <c r="H92" i="5" s="1"/>
  <c r="G23" i="5"/>
  <c r="G92" i="5" s="1"/>
  <c r="F23" i="5"/>
  <c r="F92" i="5" s="1"/>
  <c r="P22" i="5"/>
  <c r="P91" i="5" s="1"/>
  <c r="O22" i="5"/>
  <c r="O91" i="5" s="1"/>
  <c r="N22" i="5"/>
  <c r="N91" i="5" s="1"/>
  <c r="M22" i="5"/>
  <c r="L22" i="5"/>
  <c r="K22" i="5"/>
  <c r="J22" i="5"/>
  <c r="I22" i="5"/>
  <c r="I91" i="5" s="1"/>
  <c r="H22" i="5"/>
  <c r="H91" i="5" s="1"/>
  <c r="G22" i="5"/>
  <c r="G91" i="5" s="1"/>
  <c r="F22" i="5"/>
  <c r="F91" i="5" s="1"/>
  <c r="P21" i="5"/>
  <c r="P90" i="5" s="1"/>
  <c r="O21" i="5"/>
  <c r="O90" i="5" s="1"/>
  <c r="N21" i="5"/>
  <c r="N90" i="5" s="1"/>
  <c r="M21" i="5"/>
  <c r="M90" i="5" s="1"/>
  <c r="L21" i="5"/>
  <c r="L90" i="5" s="1"/>
  <c r="K21" i="5"/>
  <c r="J21" i="5"/>
  <c r="I21" i="5"/>
  <c r="I90" i="5" s="1"/>
  <c r="H21" i="5"/>
  <c r="H90" i="5" s="1"/>
  <c r="G21" i="5"/>
  <c r="G90" i="5" s="1"/>
  <c r="F21" i="5"/>
  <c r="F90" i="5" s="1"/>
  <c r="P20" i="5"/>
  <c r="P89" i="5" s="1"/>
  <c r="O20" i="5"/>
  <c r="O89" i="5" s="1"/>
  <c r="N20" i="5"/>
  <c r="N89" i="5" s="1"/>
  <c r="M20" i="5"/>
  <c r="M89" i="5" s="1"/>
  <c r="L20" i="5"/>
  <c r="L89" i="5" s="1"/>
  <c r="K20" i="5"/>
  <c r="J20" i="5"/>
  <c r="I20" i="5"/>
  <c r="I89" i="5" s="1"/>
  <c r="H20" i="5"/>
  <c r="H89" i="5" s="1"/>
  <c r="G20" i="5"/>
  <c r="G89" i="5" s="1"/>
  <c r="F20" i="5"/>
  <c r="F89" i="5" s="1"/>
  <c r="P19" i="5"/>
  <c r="P88" i="5" s="1"/>
  <c r="O19" i="5"/>
  <c r="O88" i="5" s="1"/>
  <c r="N19" i="5"/>
  <c r="N88" i="5" s="1"/>
  <c r="M19" i="5"/>
  <c r="M88" i="5" s="1"/>
  <c r="L19" i="5"/>
  <c r="L88" i="5" s="1"/>
  <c r="K19" i="5"/>
  <c r="J19" i="5"/>
  <c r="I19" i="5"/>
  <c r="I88" i="5" s="1"/>
  <c r="H19" i="5"/>
  <c r="H88" i="5" s="1"/>
  <c r="G19" i="5"/>
  <c r="G88" i="5" s="1"/>
  <c r="F19" i="5"/>
  <c r="F88" i="5" s="1"/>
  <c r="P18" i="5"/>
  <c r="P87" i="5" s="1"/>
  <c r="O18" i="5"/>
  <c r="O87" i="5" s="1"/>
  <c r="N18" i="5"/>
  <c r="N87" i="5" s="1"/>
  <c r="N118" i="5" s="1"/>
  <c r="M18" i="5"/>
  <c r="M87" i="5" s="1"/>
  <c r="M118" i="5" s="1"/>
  <c r="L18" i="5"/>
  <c r="L87" i="5" s="1"/>
  <c r="L118" i="5" s="1"/>
  <c r="K18" i="5"/>
  <c r="K87" i="5" s="1"/>
  <c r="K118" i="5" s="1"/>
  <c r="J18" i="5"/>
  <c r="I18" i="5"/>
  <c r="I87" i="5" s="1"/>
  <c r="H18" i="5"/>
  <c r="H87" i="5" s="1"/>
  <c r="G18" i="5"/>
  <c r="G87" i="5" s="1"/>
  <c r="F18" i="5"/>
  <c r="F87" i="5" s="1"/>
  <c r="F118" i="5" s="1"/>
  <c r="P17" i="5"/>
  <c r="P86" i="5" s="1"/>
  <c r="O17" i="5"/>
  <c r="O86" i="5" s="1"/>
  <c r="N17" i="5"/>
  <c r="N86" i="5" s="1"/>
  <c r="M17" i="5"/>
  <c r="L17" i="5"/>
  <c r="K17" i="5"/>
  <c r="J17" i="5"/>
  <c r="I17" i="5"/>
  <c r="I86" i="5" s="1"/>
  <c r="H17" i="5"/>
  <c r="H86" i="5" s="1"/>
  <c r="G17" i="5"/>
  <c r="G86" i="5" s="1"/>
  <c r="F17" i="5"/>
  <c r="F86" i="5" s="1"/>
  <c r="P16" i="5"/>
  <c r="P85" i="5" s="1"/>
  <c r="O16" i="5"/>
  <c r="O85" i="5" s="1"/>
  <c r="N16" i="5"/>
  <c r="N85" i="5" s="1"/>
  <c r="M16" i="5"/>
  <c r="M85" i="5" s="1"/>
  <c r="L16" i="5"/>
  <c r="L85" i="5" s="1"/>
  <c r="K16" i="5"/>
  <c r="K85" i="5" s="1"/>
  <c r="J16" i="5"/>
  <c r="I16" i="5"/>
  <c r="I85" i="5" s="1"/>
  <c r="H16" i="5"/>
  <c r="H85" i="5" s="1"/>
  <c r="G16" i="5"/>
  <c r="G85" i="5" s="1"/>
  <c r="F16" i="5"/>
  <c r="F85" i="5" s="1"/>
  <c r="P15" i="5"/>
  <c r="P84" i="5" s="1"/>
  <c r="O15" i="5"/>
  <c r="O84" i="5" s="1"/>
  <c r="N15" i="5"/>
  <c r="N84" i="5" s="1"/>
  <c r="M15" i="5"/>
  <c r="M84" i="5" s="1"/>
  <c r="L15" i="5"/>
  <c r="L84" i="5" s="1"/>
  <c r="K15" i="5"/>
  <c r="K84" i="5" s="1"/>
  <c r="J15" i="5"/>
  <c r="I15" i="5"/>
  <c r="I84" i="5" s="1"/>
  <c r="H15" i="5"/>
  <c r="H84" i="5" s="1"/>
  <c r="G15" i="5"/>
  <c r="G84" i="5" s="1"/>
  <c r="F15" i="5"/>
  <c r="F84" i="5" s="1"/>
  <c r="P14" i="5"/>
  <c r="P83" i="5" s="1"/>
  <c r="O14" i="5"/>
  <c r="O83" i="5" s="1"/>
  <c r="N14" i="5"/>
  <c r="N83" i="5" s="1"/>
  <c r="M14" i="5"/>
  <c r="M83" i="5" s="1"/>
  <c r="L14" i="5"/>
  <c r="L83" i="5" s="1"/>
  <c r="K14" i="5"/>
  <c r="J14" i="5"/>
  <c r="I14" i="5"/>
  <c r="I83" i="5" s="1"/>
  <c r="H14" i="5"/>
  <c r="H83" i="5" s="1"/>
  <c r="G14" i="5"/>
  <c r="G83" i="5" s="1"/>
  <c r="F14" i="5"/>
  <c r="F83" i="5" s="1"/>
  <c r="P13" i="5"/>
  <c r="P82" i="5" s="1"/>
  <c r="O13" i="5"/>
  <c r="O82" i="5" s="1"/>
  <c r="N13" i="5"/>
  <c r="N82" i="5" s="1"/>
  <c r="M13" i="5"/>
  <c r="M82" i="5" s="1"/>
  <c r="L13" i="5"/>
  <c r="L82" i="5" s="1"/>
  <c r="K13" i="5"/>
  <c r="K82" i="5" s="1"/>
  <c r="J13" i="5"/>
  <c r="I13" i="5"/>
  <c r="I82" i="5" s="1"/>
  <c r="H13" i="5"/>
  <c r="H82" i="5" s="1"/>
  <c r="G13" i="5"/>
  <c r="G82" i="5" s="1"/>
  <c r="F13" i="5"/>
  <c r="F82" i="5" s="1"/>
  <c r="P12" i="5"/>
  <c r="P81" i="5" s="1"/>
  <c r="O12" i="5"/>
  <c r="O81" i="5" s="1"/>
  <c r="N12" i="5"/>
  <c r="N81" i="5" s="1"/>
  <c r="M12" i="5"/>
  <c r="M81" i="5" s="1"/>
  <c r="L12" i="5"/>
  <c r="L81" i="5" s="1"/>
  <c r="K12" i="5"/>
  <c r="K81" i="5" s="1"/>
  <c r="J12" i="5"/>
  <c r="J81" i="5" s="1"/>
  <c r="I12" i="5"/>
  <c r="I81" i="5" s="1"/>
  <c r="H12" i="5"/>
  <c r="H81" i="5" s="1"/>
  <c r="G12" i="5"/>
  <c r="G81" i="5" s="1"/>
  <c r="F12" i="5"/>
  <c r="F81" i="5" s="1"/>
  <c r="P11" i="5"/>
  <c r="O11" i="5"/>
  <c r="N11" i="5"/>
  <c r="M11" i="5"/>
  <c r="L11" i="5"/>
  <c r="K11" i="5"/>
  <c r="J11" i="5"/>
  <c r="I11" i="5"/>
  <c r="I80" i="5" s="1"/>
  <c r="H11" i="5"/>
  <c r="H80" i="5" s="1"/>
  <c r="G11" i="5"/>
  <c r="G80" i="5" s="1"/>
  <c r="F11" i="5"/>
  <c r="F80" i="5" s="1"/>
  <c r="P10" i="5"/>
  <c r="P79" i="5" s="1"/>
  <c r="O10" i="5"/>
  <c r="O79" i="5" s="1"/>
  <c r="N10" i="5"/>
  <c r="N79" i="5" s="1"/>
  <c r="M10" i="5"/>
  <c r="M79" i="5" s="1"/>
  <c r="L10" i="5"/>
  <c r="L79" i="5" s="1"/>
  <c r="K10" i="5"/>
  <c r="K79" i="5" s="1"/>
  <c r="J10" i="5"/>
  <c r="I10" i="5"/>
  <c r="I79" i="5" s="1"/>
  <c r="H10" i="5"/>
  <c r="H79" i="5" s="1"/>
  <c r="G10" i="5"/>
  <c r="G79" i="5" s="1"/>
  <c r="F10" i="5"/>
  <c r="F79" i="5" s="1"/>
  <c r="P9" i="5"/>
  <c r="P78" i="5" s="1"/>
  <c r="O9" i="5"/>
  <c r="O78" i="5" s="1"/>
  <c r="N9" i="5"/>
  <c r="N78" i="5" s="1"/>
  <c r="M9" i="5"/>
  <c r="M78" i="5" s="1"/>
  <c r="M103" i="5" s="1"/>
  <c r="M105" i="5" s="1"/>
  <c r="M117" i="5" s="1"/>
  <c r="L9" i="5"/>
  <c r="L78" i="5" s="1"/>
  <c r="K9" i="5"/>
  <c r="K78" i="5" s="1"/>
  <c r="J9" i="5"/>
  <c r="I9" i="5"/>
  <c r="I78" i="5" s="1"/>
  <c r="H9" i="5"/>
  <c r="H78" i="5" s="1"/>
  <c r="G9" i="5"/>
  <c r="G78" i="5" s="1"/>
  <c r="F9" i="5"/>
  <c r="F78" i="5" s="1"/>
  <c r="P8" i="5"/>
  <c r="P77" i="5" s="1"/>
  <c r="P103" i="5" s="1"/>
  <c r="O8" i="5"/>
  <c r="O77" i="5" s="1"/>
  <c r="N8" i="5"/>
  <c r="M8" i="5"/>
  <c r="L8" i="5"/>
  <c r="K8" i="5"/>
  <c r="J8" i="5"/>
  <c r="I8" i="5"/>
  <c r="I77" i="5" s="1"/>
  <c r="H8" i="5"/>
  <c r="H77" i="5" s="1"/>
  <c r="H103" i="5" s="1"/>
  <c r="G8" i="5"/>
  <c r="G77" i="5" s="1"/>
  <c r="F8" i="5"/>
  <c r="F77" i="5" s="1"/>
  <c r="F52" i="10" l="1"/>
  <c r="P149" i="7"/>
  <c r="P161" i="7" s="1"/>
  <c r="G43" i="7"/>
  <c r="D14" i="10" s="1"/>
  <c r="N43" i="7"/>
  <c r="K14" i="10" s="1"/>
  <c r="K149" i="7"/>
  <c r="K161" i="7" s="1"/>
  <c r="M43" i="7"/>
  <c r="J14" i="10" s="1"/>
  <c r="O43" i="7"/>
  <c r="L14" i="10" s="1"/>
  <c r="H149" i="7"/>
  <c r="H161" i="7" s="1"/>
  <c r="F149" i="7"/>
  <c r="F161" i="7" s="1"/>
  <c r="O149" i="7"/>
  <c r="O161" i="7" s="1"/>
  <c r="G149" i="7"/>
  <c r="G161" i="7" s="1"/>
  <c r="J43" i="7"/>
  <c r="G14" i="10" s="1"/>
  <c r="G118" i="5"/>
  <c r="O118" i="5"/>
  <c r="H118" i="5"/>
  <c r="P118" i="5"/>
  <c r="I118" i="5"/>
  <c r="I103" i="5"/>
  <c r="I105" i="5" s="1"/>
  <c r="J103" i="5"/>
  <c r="J105" i="5" s="1"/>
  <c r="J117" i="5" s="1"/>
  <c r="N103" i="5"/>
  <c r="N105" i="5" s="1"/>
  <c r="N117" i="5" s="1"/>
  <c r="F103" i="5"/>
  <c r="F105" i="5" s="1"/>
  <c r="F117" i="5" s="1"/>
  <c r="K103" i="5"/>
  <c r="K105" i="5" s="1"/>
  <c r="K117" i="5" s="1"/>
  <c r="G103" i="5"/>
  <c r="G105" i="5" s="1"/>
  <c r="G117" i="5" s="1"/>
  <c r="O103" i="5"/>
  <c r="O105" i="5" s="1"/>
  <c r="O117" i="5" s="1"/>
  <c r="L103" i="5"/>
  <c r="L105" i="5" s="1"/>
  <c r="L117" i="5" s="1"/>
  <c r="H105" i="5"/>
  <c r="H117" i="5" s="1"/>
  <c r="P105" i="5"/>
  <c r="P24" i="4"/>
  <c r="M11" i="10" s="1"/>
  <c r="O24" i="4"/>
  <c r="L11" i="10" s="1"/>
  <c r="N24" i="4"/>
  <c r="K11" i="10" s="1"/>
  <c r="M24" i="4"/>
  <c r="J11" i="10" s="1"/>
  <c r="L24" i="4"/>
  <c r="I11" i="10" s="1"/>
  <c r="K24" i="4"/>
  <c r="H11" i="10" s="1"/>
  <c r="J24" i="4"/>
  <c r="G11" i="10" s="1"/>
  <c r="I24" i="4"/>
  <c r="F11" i="10" s="1"/>
  <c r="E11" i="10"/>
  <c r="D11" i="10"/>
  <c r="G6" i="4"/>
  <c r="H6" i="4" s="1"/>
  <c r="I6" i="4" s="1"/>
  <c r="J6" i="4" s="1"/>
  <c r="K6" i="4" s="1"/>
  <c r="L6" i="4" s="1"/>
  <c r="M6" i="4" s="1"/>
  <c r="N6" i="4" s="1"/>
  <c r="O6" i="4" s="1"/>
  <c r="P6" i="4" s="1"/>
  <c r="P117" i="5" l="1"/>
  <c r="I117" i="5"/>
  <c r="F14" i="3"/>
  <c r="C10" i="10" s="1"/>
  <c r="P14" i="3"/>
  <c r="M10" i="10" s="1"/>
  <c r="O14" i="3"/>
  <c r="L10" i="10" s="1"/>
  <c r="N14" i="3"/>
  <c r="K10" i="10" s="1"/>
  <c r="M14" i="3"/>
  <c r="J10" i="10" s="1"/>
  <c r="L14" i="3"/>
  <c r="I10" i="10" s="1"/>
  <c r="K14" i="3"/>
  <c r="H10" i="10" s="1"/>
  <c r="J14" i="3"/>
  <c r="G10" i="10" s="1"/>
  <c r="I14" i="3"/>
  <c r="F10" i="10" s="1"/>
  <c r="H14" i="3"/>
  <c r="E10" i="10" s="1"/>
  <c r="G14" i="3"/>
  <c r="D10" i="10" s="1"/>
  <c r="G6" i="3"/>
  <c r="H6" i="3" s="1"/>
  <c r="I6" i="3" s="1"/>
  <c r="J6" i="3" s="1"/>
  <c r="K6" i="3" s="1"/>
  <c r="L6" i="3" s="1"/>
  <c r="M6" i="3" s="1"/>
  <c r="N6" i="3" s="1"/>
  <c r="O6" i="3" s="1"/>
  <c r="P6" i="3" s="1"/>
  <c r="P16" i="2" l="1"/>
  <c r="M9" i="10" s="1"/>
  <c r="O16" i="2"/>
  <c r="L9" i="10" s="1"/>
  <c r="N16" i="2"/>
  <c r="K9" i="10" s="1"/>
  <c r="M16" i="2"/>
  <c r="J9" i="10" s="1"/>
  <c r="L16" i="2"/>
  <c r="I9" i="10" s="1"/>
  <c r="K16" i="2"/>
  <c r="H9" i="10" s="1"/>
  <c r="J16" i="2"/>
  <c r="G9" i="10" s="1"/>
  <c r="I16" i="2"/>
  <c r="F9" i="10" s="1"/>
  <c r="H16" i="2"/>
  <c r="E9" i="10" s="1"/>
  <c r="G16" i="2"/>
  <c r="D9" i="10" s="1"/>
  <c r="F16" i="2"/>
  <c r="C9" i="10" s="1"/>
  <c r="G6" i="2"/>
  <c r="H6" i="2" s="1"/>
  <c r="I6" i="2" s="1"/>
  <c r="J6" i="2" s="1"/>
  <c r="K6" i="2" s="1"/>
  <c r="L6" i="2" s="1"/>
  <c r="M6" i="2" s="1"/>
  <c r="N6" i="2" s="1"/>
  <c r="O6" i="2" s="1"/>
  <c r="P6" i="2" s="1"/>
  <c r="P21" i="1" l="1"/>
  <c r="M8" i="10" s="1"/>
  <c r="M18" i="10" s="1"/>
  <c r="O21" i="1"/>
  <c r="L8" i="10" s="1"/>
  <c r="L18" i="10" s="1"/>
  <c r="N21" i="1"/>
  <c r="K8" i="10" s="1"/>
  <c r="K18" i="10" s="1"/>
  <c r="M21" i="1"/>
  <c r="J8" i="10" s="1"/>
  <c r="J18" i="10" s="1"/>
  <c r="L21" i="1"/>
  <c r="I8" i="10" s="1"/>
  <c r="I18" i="10" s="1"/>
  <c r="K21" i="1"/>
  <c r="H8" i="10" s="1"/>
  <c r="H18" i="10" s="1"/>
  <c r="J21" i="1"/>
  <c r="G8" i="10" s="1"/>
  <c r="G18" i="10" s="1"/>
  <c r="I21" i="1"/>
  <c r="F8" i="10" s="1"/>
  <c r="F18" i="10" s="1"/>
  <c r="H21" i="1"/>
  <c r="E8" i="10" s="1"/>
  <c r="E18" i="10" s="1"/>
  <c r="E39" i="10" s="1"/>
  <c r="G21" i="1"/>
  <c r="D8" i="10" s="1"/>
  <c r="D18" i="10" s="1"/>
  <c r="D39" i="10" s="1"/>
  <c r="F21" i="1"/>
  <c r="C8" i="10" s="1"/>
  <c r="F19" i="10" l="1"/>
  <c r="F39" i="10"/>
  <c r="J39" i="10"/>
  <c r="J19" i="10"/>
  <c r="G39" i="10"/>
  <c r="G19" i="10"/>
  <c r="K39" i="10"/>
  <c r="K19" i="10"/>
  <c r="H39" i="10"/>
  <c r="H19" i="10"/>
  <c r="L39" i="10"/>
  <c r="L19" i="10"/>
  <c r="E19" i="10"/>
  <c r="I39" i="10"/>
  <c r="I19" i="10"/>
  <c r="M39" i="10"/>
  <c r="M19" i="10"/>
  <c r="G6" i="1"/>
  <c r="H6" i="1" s="1"/>
  <c r="I6" i="1" s="1"/>
  <c r="J6" i="1" s="1"/>
  <c r="K6" i="1" s="1"/>
  <c r="L6" i="1" s="1"/>
  <c r="M6" i="1" s="1"/>
  <c r="N6" i="1" s="1"/>
  <c r="O6" i="1" s="1"/>
  <c r="P6" i="1" s="1"/>
  <c r="C11" i="10" l="1"/>
  <c r="C18" i="10" s="1"/>
  <c r="D19" i="10" l="1"/>
  <c r="C39" i="10"/>
</calcChain>
</file>

<file path=xl/sharedStrings.xml><?xml version="1.0" encoding="utf-8"?>
<sst xmlns="http://schemas.openxmlformats.org/spreadsheetml/2006/main" count="2301" uniqueCount="592">
  <si>
    <t>Mine</t>
  </si>
  <si>
    <t>Owner</t>
  </si>
  <si>
    <t>Status</t>
  </si>
  <si>
    <t>Brunswick</t>
  </si>
  <si>
    <t>Perseverance</t>
  </si>
  <si>
    <t>Bracemac-McLeod</t>
  </si>
  <si>
    <t>Kidd Creek</t>
  </si>
  <si>
    <t>Duck Pond</t>
  </si>
  <si>
    <t>La Ronde</t>
  </si>
  <si>
    <t>Lalor</t>
  </si>
  <si>
    <t>Chisel North</t>
  </si>
  <si>
    <t>Langlois</t>
  </si>
  <si>
    <t>Myra Falls</t>
  </si>
  <si>
    <t>Yukon Zinc</t>
  </si>
  <si>
    <t>Caribou</t>
  </si>
  <si>
    <t>Total</t>
  </si>
  <si>
    <t>Middle Tennessee</t>
  </si>
  <si>
    <t>Nystar</t>
  </si>
  <si>
    <t>East Tennessee</t>
  </si>
  <si>
    <t>op</t>
  </si>
  <si>
    <t>Missouri Lead Belt</t>
  </si>
  <si>
    <t>Doe Run</t>
  </si>
  <si>
    <t>Balmat</t>
  </si>
  <si>
    <t>Hudbay</t>
  </si>
  <si>
    <t>Red Dog</t>
  </si>
  <si>
    <t>Teck</t>
  </si>
  <si>
    <t>Pend Oreille</t>
  </si>
  <si>
    <t>Green's Creek</t>
  </si>
  <si>
    <t>Hecla</t>
  </si>
  <si>
    <t>Lucky Friday</t>
  </si>
  <si>
    <t>Sindesar Khurd</t>
  </si>
  <si>
    <t>Rajpura Dariba</t>
  </si>
  <si>
    <t>Zawar</t>
  </si>
  <si>
    <t>Kayad</t>
  </si>
  <si>
    <t>Rampura Agucha UG</t>
  </si>
  <si>
    <t>Rampura Agucha OP</t>
  </si>
  <si>
    <t>incl.</t>
  </si>
  <si>
    <t>McArthur River</t>
  </si>
  <si>
    <t>Century</t>
  </si>
  <si>
    <t>Rosebery</t>
  </si>
  <si>
    <t>Golden Grove</t>
  </si>
  <si>
    <t>Dugald River</t>
  </si>
  <si>
    <t>Cannington</t>
  </si>
  <si>
    <t>Endeavor</t>
  </si>
  <si>
    <t>Rasp</t>
  </si>
  <si>
    <t>Perilya</t>
  </si>
  <si>
    <t>Jaguar/Bentley</t>
  </si>
  <si>
    <t>Hera</t>
  </si>
  <si>
    <t>Other</t>
  </si>
  <si>
    <t>Other:</t>
  </si>
  <si>
    <t>Kagara placed in receivership 2012.</t>
  </si>
  <si>
    <t>Terramin- Angas Zinc Mine closed  October 2013</t>
  </si>
  <si>
    <t>Antamina</t>
  </si>
  <si>
    <t>Cerro Lindo</t>
  </si>
  <si>
    <t>El Porvenir</t>
  </si>
  <si>
    <t>Atacocha</t>
  </si>
  <si>
    <t>Iscaycruz</t>
  </si>
  <si>
    <t>Yauliyacu</t>
  </si>
  <si>
    <t>Santander</t>
  </si>
  <si>
    <t>Yauli</t>
  </si>
  <si>
    <t>Chungar</t>
  </si>
  <si>
    <t>C. Pasco</t>
  </si>
  <si>
    <t>Alpamarca</t>
  </si>
  <si>
    <t>Colquijirca</t>
  </si>
  <si>
    <t>Uchucchacua</t>
  </si>
  <si>
    <t>Mallay</t>
  </si>
  <si>
    <t>Morococha</t>
  </si>
  <si>
    <t>Huaron</t>
  </si>
  <si>
    <t>Yauricocha</t>
  </si>
  <si>
    <t>Catalina Huanca</t>
  </si>
  <si>
    <t>Contonga</t>
  </si>
  <si>
    <t>San Cristobal</t>
  </si>
  <si>
    <t>SIMSA</t>
  </si>
  <si>
    <t>S. Luisa</t>
  </si>
  <si>
    <t>Raura</t>
  </si>
  <si>
    <t>Casapalca</t>
  </si>
  <si>
    <t>Colquisiri</t>
  </si>
  <si>
    <t>A. Duvaz</t>
  </si>
  <si>
    <t>Subtotal</t>
  </si>
  <si>
    <t>Small Miners</t>
  </si>
  <si>
    <t>TOTAL</t>
  </si>
  <si>
    <t>Net change</t>
  </si>
  <si>
    <t>Glencore</t>
  </si>
  <si>
    <t>Company</t>
  </si>
  <si>
    <t>Goldcorp</t>
  </si>
  <si>
    <t>Peñoles</t>
  </si>
  <si>
    <t>Fresnillo</t>
  </si>
  <si>
    <t>Sth. Copper</t>
  </si>
  <si>
    <t>Min. Frisco</t>
  </si>
  <si>
    <t>Gr. Panther</t>
  </si>
  <si>
    <t>P.Am. Silver</t>
  </si>
  <si>
    <t>Gold Res.</t>
  </si>
  <si>
    <t>Americas S.</t>
  </si>
  <si>
    <t>Capstone</t>
  </si>
  <si>
    <t xml:space="preserve">Excellon   </t>
  </si>
  <si>
    <r>
      <t>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Majestic</t>
    </r>
  </si>
  <si>
    <t xml:space="preserve"> </t>
  </si>
  <si>
    <t>Sabinas</t>
  </si>
  <si>
    <t>Bismark</t>
  </si>
  <si>
    <t>Tizapa</t>
  </si>
  <si>
    <t>Madero</t>
  </si>
  <si>
    <t>Velardeña</t>
  </si>
  <si>
    <t>Rey de Plata</t>
  </si>
  <si>
    <t>Naica</t>
  </si>
  <si>
    <t>Ciénega</t>
  </si>
  <si>
    <t>Saucito</t>
  </si>
  <si>
    <t>San Julian</t>
  </si>
  <si>
    <t>Charcas</t>
  </si>
  <si>
    <t>St. Barbara</t>
  </si>
  <si>
    <t>St. Eulalia</t>
  </si>
  <si>
    <t>Angangueo</t>
  </si>
  <si>
    <t>Asientos</t>
  </si>
  <si>
    <t>Tayahua</t>
  </si>
  <si>
    <t>San.Fran.</t>
  </si>
  <si>
    <t>Southern Copper</t>
  </si>
  <si>
    <r>
      <t>1</t>
    </r>
    <r>
      <rPr>
        <vertAlign val="superscript"/>
        <sz val="12"/>
        <color theme="1"/>
        <rFont val="Calibri"/>
        <family val="2"/>
        <scheme val="minor"/>
      </rPr>
      <t>st</t>
    </r>
    <r>
      <rPr>
        <sz val="12"/>
        <color theme="1"/>
        <rFont val="Calibri"/>
        <family val="2"/>
        <scheme val="minor"/>
      </rPr>
      <t xml:space="preserve"> Majestic</t>
    </r>
  </si>
  <si>
    <t>Tara</t>
  </si>
  <si>
    <t>Lisheen</t>
  </si>
  <si>
    <t>Stratoni</t>
  </si>
  <si>
    <t>Olympias</t>
  </si>
  <si>
    <t>Pyhasalmi</t>
  </si>
  <si>
    <t>Kylylahti</t>
  </si>
  <si>
    <t>Sotkamo</t>
  </si>
  <si>
    <t>Garpenberg</t>
  </si>
  <si>
    <t>Boliden Area</t>
  </si>
  <si>
    <t>Zinkgruven</t>
  </si>
  <si>
    <t>Neves-Corvo</t>
  </si>
  <si>
    <t>Aguas Tenidas</t>
  </si>
  <si>
    <t>Cayeli</t>
  </si>
  <si>
    <t>Turkey other</t>
  </si>
  <si>
    <t>Pomorzany</t>
  </si>
  <si>
    <t>SASA Mine</t>
  </si>
  <si>
    <t>Bosnia/Herz.</t>
  </si>
  <si>
    <t>Kosovo</t>
  </si>
  <si>
    <t>Montenegro</t>
  </si>
  <si>
    <t>Serbia</t>
  </si>
  <si>
    <t>Armenia</t>
  </si>
  <si>
    <t>Bulgaria</t>
  </si>
  <si>
    <t>Romania</t>
  </si>
  <si>
    <t>Boliden</t>
  </si>
  <si>
    <t>Vedanta</t>
  </si>
  <si>
    <t>Eldorado</t>
  </si>
  <si>
    <t>First Quantum</t>
  </si>
  <si>
    <t>Terrafame</t>
  </si>
  <si>
    <t>Lundin</t>
  </si>
  <si>
    <t>Trafigura</t>
  </si>
  <si>
    <t>Boleslaw</t>
  </si>
  <si>
    <t>Lynx</t>
  </si>
  <si>
    <t>Milpo</t>
  </si>
  <si>
    <t>Trevali/Glencore</t>
  </si>
  <si>
    <t>Volcan</t>
  </si>
  <si>
    <t>Buenaventura</t>
  </si>
  <si>
    <t>Pan Am Silver</t>
  </si>
  <si>
    <t>Sierra Metals</t>
  </si>
  <si>
    <t>Fortuna Silver</t>
  </si>
  <si>
    <t>San Vicente</t>
  </si>
  <si>
    <t>Mitsui</t>
  </si>
  <si>
    <t>Americana</t>
  </si>
  <si>
    <t>Maria Teresa</t>
  </si>
  <si>
    <t>Austria Duvaz</t>
  </si>
  <si>
    <t>Teck/BHP/Glencore/Mitsubishi</t>
  </si>
  <si>
    <t>Bisha</t>
  </si>
  <si>
    <t>B.Mountain</t>
  </si>
  <si>
    <t>Skorpion</t>
  </si>
  <si>
    <t>Gamsberg</t>
  </si>
  <si>
    <t>Rosh Pinah</t>
  </si>
  <si>
    <t>Perkoa</t>
  </si>
  <si>
    <t>Morocco</t>
  </si>
  <si>
    <t>Kipushi</t>
  </si>
  <si>
    <t>Nevsun</t>
  </si>
  <si>
    <t>Ivanhoe</t>
  </si>
  <si>
    <t>Hindustan Zinc</t>
  </si>
  <si>
    <t>MMG</t>
  </si>
  <si>
    <t>South32</t>
  </si>
  <si>
    <t>Toho Zinc</t>
  </si>
  <si>
    <t>Shenzhen Zhongjin</t>
  </si>
  <si>
    <t>Independence</t>
  </si>
  <si>
    <t>Aurelia</t>
  </si>
  <si>
    <t>Canada</t>
  </si>
  <si>
    <t>USA</t>
  </si>
  <si>
    <t>India</t>
  </si>
  <si>
    <t>Australia</t>
  </si>
  <si>
    <t>Peru</t>
  </si>
  <si>
    <t xml:space="preserve">Europe </t>
  </si>
  <si>
    <t>Mexico</t>
  </si>
  <si>
    <t>Africa</t>
  </si>
  <si>
    <t>Country or Region</t>
  </si>
  <si>
    <t>ORIGINAL DATA AS OF NOVEMBER 2016</t>
  </si>
  <si>
    <t>Trevali</t>
  </si>
  <si>
    <t>Agnico Eagle</t>
  </si>
  <si>
    <t>Nyrstar</t>
  </si>
  <si>
    <t>China</t>
  </si>
  <si>
    <t>EMR Capital</t>
  </si>
  <si>
    <t xml:space="preserve">   </t>
  </si>
  <si>
    <t>La Colorada</t>
  </si>
  <si>
    <t>Penasquito</t>
  </si>
  <si>
    <t xml:space="preserve">  </t>
  </si>
  <si>
    <t>closed</t>
  </si>
  <si>
    <t>op &lt; 5y</t>
  </si>
  <si>
    <t>operating</t>
  </si>
  <si>
    <t>standby</t>
  </si>
  <si>
    <t xml:space="preserve"> op &lt;5 y</t>
  </si>
  <si>
    <t>Teck states production profile beyond 2017 is uncertain so closure earlier than illustrated is possible.</t>
  </si>
  <si>
    <t>Teck states production from 2018-2020 will be between 525,000 and 500,000 tpa with falling grades.</t>
  </si>
  <si>
    <t>Nystar announced reopening for mid-2017 reaching full production in November 2017.</t>
  </si>
  <si>
    <t>Short tons converted to metric tonnes.</t>
  </si>
  <si>
    <t>Mining</t>
  </si>
  <si>
    <t>Method</t>
  </si>
  <si>
    <t>ug</t>
  </si>
  <si>
    <t>lt standby</t>
  </si>
  <si>
    <t>REVISED DATA AS OF APRIL 2017</t>
  </si>
  <si>
    <t>LEGEND</t>
  </si>
  <si>
    <t>Company reported data</t>
  </si>
  <si>
    <t>Company guidance</t>
  </si>
  <si>
    <t>2016 Notes</t>
  </si>
  <si>
    <t>"Ground control issues" resulted in lower production.</t>
  </si>
  <si>
    <t>Silvertip</t>
  </si>
  <si>
    <t>JDS Silver</t>
  </si>
  <si>
    <t>ramp up</t>
  </si>
  <si>
    <t>Missed in original assessment,  NI 43-101 filed by Silvercorp Metals Feb 26,2010</t>
  </si>
  <si>
    <t>Silvertip has acquired and relocated the Sa Dena Hes mill from Watson Lake.</t>
  </si>
  <si>
    <t>2010 Indicated resources of 2,349,055 T @ 352 g/t Ag, 6.73% Pb 9.41% Zn</t>
  </si>
  <si>
    <t>I assume 750 tpd to arrive at my estimate.  JDS is a private company.</t>
  </si>
  <si>
    <t>Closure in early 2022 still expected.</t>
  </si>
  <si>
    <t>Hudbay expects zinc grade to increase over recent past</t>
  </si>
  <si>
    <t>A new NI 43-101 expected shortly</t>
  </si>
  <si>
    <t>Nyrstar has mulled a reopening, suckers for punishment.</t>
  </si>
  <si>
    <t>4 years of reserves remaining as of Dec. 31,2016.</t>
  </si>
  <si>
    <t>M+I of 7.2 MT @ 7% Zn should result in a modest mine life extension illustrated.</t>
  </si>
  <si>
    <t>Head grade at Caribou of 6% Zn with 80% recovery and 900,000 tpa assumed with</t>
  </si>
  <si>
    <t>80% conversion of M+I to P+P= 5.7 MT or 6 year mine life not including inferred.</t>
  </si>
  <si>
    <t>Placeholder data since Doe Run is a private company</t>
  </si>
  <si>
    <t>No change</t>
  </si>
  <si>
    <t>No guidance</t>
  </si>
  <si>
    <t>Star Mountain</t>
  </si>
  <si>
    <t>No news in over two years</t>
  </si>
  <si>
    <t>Rampura Agucha OP*</t>
  </si>
  <si>
    <t>* as derived in Module 10.</t>
  </si>
  <si>
    <t>The financial year for Hindustan Zinc ends March 31 so data on individual</t>
  </si>
  <si>
    <t>mine output will likely not be available until May but disclosure is</t>
  </si>
  <si>
    <t>sometimes patchy.  Quarterly production summary  is usually a tally</t>
  </si>
  <si>
    <t>of lead + zinc mined and zinc refined with no breakout by mine nor</t>
  </si>
  <si>
    <t>smelter.   HZ reports RA UG exited Q4, 2016 at a 2 MTPA production rate</t>
  </si>
  <si>
    <t>which means they have gotten their act together finally.  I will wait to see</t>
  </si>
  <si>
    <t>the annual reports for HZL and Vedanta before I consider any change in</t>
  </si>
  <si>
    <t>capacity would simply go into stockpile since they do not export cons.</t>
  </si>
  <si>
    <t>Environmental clearance to expand Sindesar Khurd and Zawar has been</t>
  </si>
  <si>
    <t>received but this does not automatically mean these mines will expand.</t>
  </si>
  <si>
    <t>ORIGINAL DATA AS OF AUGUST 2016</t>
  </si>
  <si>
    <t>Long term standby- would require greater than 12 months to restart.</t>
  </si>
  <si>
    <t>If production recommenced the mine life is likely limited to 2-3 years.</t>
  </si>
  <si>
    <t xml:space="preserve">forecast.  But note that any increase in concentrate above  their smelters </t>
  </si>
  <si>
    <t>mining completed in Q3 2016 but milled likely through Q4 at least.</t>
  </si>
  <si>
    <t>Construction reported to be on schedule for mid-2018 start up</t>
  </si>
  <si>
    <t>Sold to EMR Capital on Feb 28,2017 for $US210M.</t>
  </si>
  <si>
    <t>Rosebery and Golden Grove results combined in 2016 financial reporting.</t>
  </si>
  <si>
    <t>Sold to Century Bull Pty Ltd for  possible tails retreatment.</t>
  </si>
  <si>
    <t>Cannington reports payable zinc for 2016 of 79,300 T.  I have assumed 85% payable to derive 93,300 T zinc in concentrate production.</t>
  </si>
  <si>
    <t>I found no news on a ramp up in production here but have assumed it will happen</t>
  </si>
  <si>
    <t>Perilya- South Mine</t>
  </si>
  <si>
    <t>Perilya- North Mine (Potosi)</t>
  </si>
  <si>
    <t>http://www.abc.net.au/news/2016-10-21/perilya-north-mine-reopen-broken-hill/7951174</t>
  </si>
  <si>
    <t>Thalanga</t>
  </si>
  <si>
    <t>Red River</t>
  </si>
  <si>
    <t>http://clients3.weblink.com.au/pdf/RVR/01684389.pdf</t>
  </si>
  <si>
    <t>Rehabilitation is underway to restart mine after 24 years.   Placeholder figures only.</t>
  </si>
  <si>
    <t>I don't get a warm feeling here.  No u/g people on senior staff.  Undercapitalized</t>
  </si>
  <si>
    <t xml:space="preserve"> http://www.auctusresources.com.au/</t>
  </si>
  <si>
    <t>Auctus Resources</t>
  </si>
  <si>
    <t>Mungana/ King Vol</t>
  </si>
  <si>
    <t>A classic private equity (Denham Capital) flip planned here.   Experienced team. No production plans provided.</t>
  </si>
  <si>
    <t>op &lt;5 y</t>
  </si>
  <si>
    <t>construction</t>
  </si>
  <si>
    <t>Dollars to donuts there will be working capital issues at Thalanga in 2017.</t>
  </si>
  <si>
    <t>As of June 2016 only 3 years of reserves but drilling smallish north lenses.</t>
  </si>
  <si>
    <t>Venturex- Sulphur Springs</t>
  </si>
  <si>
    <t>http://www.venturexresources.com/wp-content/uploads/2017/02/170216-VES-Complete.pdf</t>
  </si>
  <si>
    <t>Rox Resources</t>
  </si>
  <si>
    <t>Independence  Group- Stockman</t>
  </si>
  <si>
    <t>Heron Resources- Woodlawn</t>
  </si>
  <si>
    <t>http://www.igo.com.au/irm/PDF/5754_0/December2016QuarterlyActivitiesReport</t>
  </si>
  <si>
    <t>http://www.roxresources.com.au/wp-content/uploads/2017/02/1644965.pdf</t>
  </si>
  <si>
    <t>http://www.aureliametals.com/uploads/5/8/AMI%20-%20Hera%20Exploration%20Update.pdf</t>
  </si>
  <si>
    <t>http://www.aureliametals.com/uploads/5/8/AMI%20-%20Nymagee%20Scoping%20Study%20Commences.pdf</t>
  </si>
  <si>
    <t>Still seeking financing.  I will include in tables if and when finalized.</t>
  </si>
  <si>
    <t>Vendetta Mining</t>
  </si>
  <si>
    <t>Reported Value Engineering study results in Feb.    Seeking financing.</t>
  </si>
  <si>
    <t>http://www.heronresources.com.au/downloads/presentations/hrr_p20170307.pdf</t>
  </si>
  <si>
    <t>Teck now 100% owner of Teena.  Teck will park it.</t>
  </si>
  <si>
    <t>Exploration and assessment work continues.</t>
  </si>
  <si>
    <t>http://vendettaminingcorp.com/wp-content/uploads/2017/01/MDA-3-months-ended-Aug-312016.pdf</t>
  </si>
  <si>
    <t>http://vendettaminingcorp.com/wp-content/uploads/2016/08/20160721_VTT-Presentation_Q3.pdf</t>
  </si>
  <si>
    <t>Mine closure expected within 5 years as of Jan, 2017</t>
  </si>
  <si>
    <t>Reported for sale by Wood Mackenzie.  Not included in quarterly project updates so appears to be idle and low priority.</t>
  </si>
  <si>
    <t>http://www.minem.gob.pe/_estadistica.php?idSector=1&amp;idEstadistica=11299</t>
  </si>
  <si>
    <t>Steady increase in output but no public info available.</t>
  </si>
  <si>
    <t>Recently sold to Glencore</t>
  </si>
  <si>
    <t>There has always been a vast difference in production reported by gov't and Antamina and I can only assume</t>
  </si>
  <si>
    <t>Gov't</t>
  </si>
  <si>
    <t>Statistics</t>
  </si>
  <si>
    <t>See note below.  2016 figures confirmed by Teck and BHP as contained zinc.</t>
  </si>
  <si>
    <t>Government reported data</t>
  </si>
  <si>
    <t>Authors revision</t>
  </si>
  <si>
    <t xml:space="preserve">that this is due to substantial zinc in the copper concentrate that is not payable.  Certain smelters can </t>
  </si>
  <si>
    <t>Due to poor economics mining has switched largely to higher grade Pb/Ag/Au zones at the expense of zinc.  Reserves cut 50% to 5 MT.</t>
  </si>
  <si>
    <t>No information available but this is either Chinalco allowing small miners to continue mining adjacent to their copper mine or</t>
  </si>
  <si>
    <t>zinc in copper concentrate (which I highly doubt since this is a copper porphyry deposit).</t>
  </si>
  <si>
    <t>The mine appears to have reached peak output.  Significant drop in reserve grade (2.13% vs 2.45%) but 10 MT added to reserve base.</t>
  </si>
  <si>
    <t>Reserves replenished.  Integration with Atacocha continues.  I sense Atacocha mill will be used for Shalipayco feed.</t>
  </si>
  <si>
    <t xml:space="preserve">Small Miners  </t>
  </si>
  <si>
    <t>Milling some low grade stockpiles on surface for an indeterminate length of time.  200,000 T @2% Zn in 2016</t>
  </si>
  <si>
    <t>op &lt; 5 y</t>
  </si>
  <si>
    <t>Perhaps this one is near exhaustion which is why Milpo intimates using its infrastructure for  Hilarion milling</t>
  </si>
  <si>
    <t>Government reported data includes zinc in lead and copper</t>
  </si>
  <si>
    <t>concentrates also.  Therefore it overstates actual zinc in zinc conc.</t>
  </si>
  <si>
    <t>ORIGINAL DATA AS OF SEPTEMBER 2016</t>
  </si>
  <si>
    <t>Small miners actually includes one substantial miner- Chinalco at Toromocho- 25,977 T for 2016.</t>
  </si>
  <si>
    <t xml:space="preserve">closed </t>
  </si>
  <si>
    <t xml:space="preserve">stand by </t>
  </si>
  <si>
    <t>Expansion proceeded well.</t>
  </si>
  <si>
    <t>expansion</t>
  </si>
  <si>
    <t>PASS indicates mid-range guidance for zinc production of 57.5 MT, 61 MT and 60 MT for 2017,2018 and 2019 respectively.  This has been</t>
  </si>
  <si>
    <t>divided between these two mines and La Colorada in Mexico.  Mining of higher grade zinc zones expected here.</t>
  </si>
  <si>
    <t>Guiding for similar silver production in 2017, hence zinc production levels assumed also,'</t>
  </si>
  <si>
    <t xml:space="preserve">I have subtracted minor zinc production guidance here from the Cusi mine in Mexico which produced 0.9 MT in 2016 </t>
  </si>
  <si>
    <t>Glencore now reports 3.1 MT @ 6.1% Zn as P+P reserves using open pit mining.  A restart here is possible.</t>
  </si>
  <si>
    <t>700,000 t ore mined in 2016.</t>
  </si>
  <si>
    <t>http://www.boliden.com/globalassets/investor-relations/reports-and-presentations/capital-markets-day/2017/dokument/tara-deep-mineral-resource.pdf</t>
  </si>
  <si>
    <t>http://www.boliden.com/globalassets/investor-relations/reports-and-presentations/capital-markets-day/2017/dokument/170111-tara-presentation.pdf</t>
  </si>
  <si>
    <t>Tara Deep resource announcement.  Looks like a Hail Mary to me.  1,200-1,900 m deep!</t>
  </si>
  <si>
    <t>re-start</t>
  </si>
  <si>
    <t>Mining rate dropping as reserves deplete.</t>
  </si>
  <si>
    <t>Numerous falls of ground continue.  Nearing the end.</t>
  </si>
  <si>
    <t>Planned 2017 mining- 267,000 t @ 9.6 g/t Au, 3.4% Zn</t>
  </si>
  <si>
    <t>Just over one year of reserves remaining after write down and depletion.  Exploration in progress.</t>
  </si>
  <si>
    <t>Project has been recapitalized by Trafigura.  Quantitites assume a partial expansion.</t>
  </si>
  <si>
    <t xml:space="preserve">Vast Resources mines trivial quantities at Manaila   </t>
  </si>
  <si>
    <t>http://www.vastresourcesplc.com/</t>
  </si>
  <si>
    <t>in Serbia called Bosil in 2018.</t>
  </si>
  <si>
    <t xml:space="preserve">P+P Reserves of 16.5 MT @ 6.3% Zn.  M+I resources of 4.2 MT @ 6.6% Zn.  </t>
  </si>
  <si>
    <t>This mine could be around for another 10-15 years.</t>
  </si>
  <si>
    <t>Ireland</t>
  </si>
  <si>
    <t>Greece</t>
  </si>
  <si>
    <t>Finland</t>
  </si>
  <si>
    <t>Sweden</t>
  </si>
  <si>
    <t>Portugal</t>
  </si>
  <si>
    <t>Spain</t>
  </si>
  <si>
    <t>Turkey</t>
  </si>
  <si>
    <t>Poland</t>
  </si>
  <si>
    <t>Macedonia</t>
  </si>
  <si>
    <t>op/ug</t>
  </si>
  <si>
    <t>Mineco</t>
  </si>
  <si>
    <t>Sase</t>
  </si>
  <si>
    <t>Trepca</t>
  </si>
  <si>
    <t>State</t>
  </si>
  <si>
    <t>Suplja Stijena</t>
  </si>
  <si>
    <t>Gradir</t>
  </si>
  <si>
    <t>Rudnik/V. Majdan</t>
  </si>
  <si>
    <t>Shahumyan (Kapan)</t>
  </si>
  <si>
    <t>Polymetal International</t>
  </si>
  <si>
    <t>Rudmetal/Gorubso</t>
  </si>
  <si>
    <t>Terrafame/Trafigura</t>
  </si>
  <si>
    <t>Total for Turkey has been changed to reflect data from Wood Mackenzie and not USGS.</t>
  </si>
  <si>
    <t>Adjusted to reflect a quicker ramp up in mine/milling rate.</t>
  </si>
  <si>
    <t>assumes 80% of other Turkey production is open pit.</t>
  </si>
  <si>
    <t>New deep zone-  10 MT @ 8.5% Zn infered.  It will likely take 4 years to develop this very remote zone.</t>
  </si>
  <si>
    <t>Individual mine performance for Penoles and Fresnillo available shortly but Penoles states</t>
  </si>
  <si>
    <t>This mine continues to underperform.</t>
  </si>
  <si>
    <t>this totals 286.5 MT  for 2016 which is in line with that listed  234+53= 287 MT.</t>
  </si>
  <si>
    <t>Will update by mine when government statistics reported for 2016.</t>
  </si>
  <si>
    <t>Note that gov't statistics have typically over reported by 5-8%.</t>
  </si>
  <si>
    <t>Southern does not break out zinc in concentrate by mine in their 10-K.</t>
  </si>
  <si>
    <t>St. Eulalia had a full year of operations in 2016 which explains the increase in production.</t>
  </si>
  <si>
    <t>Tonnage milled from all three mines down ~5% in 2016.</t>
  </si>
  <si>
    <t>La Parrilla</t>
  </si>
  <si>
    <t>Topia</t>
  </si>
  <si>
    <t xml:space="preserve">Arista </t>
  </si>
  <si>
    <t>Gold Resource</t>
  </si>
  <si>
    <t>Not reported as yet.</t>
  </si>
  <si>
    <t>Cosala</t>
  </si>
  <si>
    <t>Americas Silver</t>
  </si>
  <si>
    <t>Entered into pre-payment agreement with Glencore for San Rafael zinc ouput.</t>
  </si>
  <si>
    <t>Cozamin</t>
  </si>
  <si>
    <t>no 2017 zinc guidance given</t>
  </si>
  <si>
    <t>Will update when government statistics reported for 2016.</t>
  </si>
  <si>
    <t>Platosa</t>
  </si>
  <si>
    <t>100% ug?</t>
  </si>
  <si>
    <t>Kazahkstan</t>
  </si>
  <si>
    <t>South and Central Am.</t>
  </si>
  <si>
    <t>Variance:</t>
  </si>
  <si>
    <t>Maleevskoye</t>
  </si>
  <si>
    <t>Ridder-Sokolniy</t>
  </si>
  <si>
    <t>Tishinskiy</t>
  </si>
  <si>
    <t>Shubinskiy</t>
  </si>
  <si>
    <t>Shaimerden</t>
  </si>
  <si>
    <t>Orlovsky</t>
  </si>
  <si>
    <t>Artemyevsky</t>
  </si>
  <si>
    <t>Irtyshsky</t>
  </si>
  <si>
    <t xml:space="preserve">Chelyabinsk Zinc Plant </t>
  </si>
  <si>
    <t>Kaz Minerals</t>
  </si>
  <si>
    <t>Kaz Zinc</t>
  </si>
  <si>
    <t>Akzhal (Nova-Zinc LLP)</t>
  </si>
  <si>
    <t>ORIGINAL DATA AS OF DECEMBER 2016</t>
  </si>
  <si>
    <t>PFS</t>
  </si>
  <si>
    <t>530,000 T mined grading 15.2% Zn in 2016 with assumed 91.5% recovery.   Grade dropped 3% from 2015.</t>
  </si>
  <si>
    <t>CMG/CMT</t>
  </si>
  <si>
    <t>These guys like dicking around doing pre-production stuff but have they ever put a mine into production?</t>
  </si>
  <si>
    <t>Looking at ug options to extend mine life.</t>
  </si>
  <si>
    <t>Poor recoveries and concentrate grades.  Improvement is assumed.  Lack of waste stripping will impact 2021/22.</t>
  </si>
  <si>
    <t>Looking at Swartberg expansion to replace Deeps production to extend life beyond 2021.</t>
  </si>
  <si>
    <t>570,000 T mined grading 8.2% Zn in 2016 with assumed 90% recovery.  Tonnes well down on other years.  Why?</t>
  </si>
  <si>
    <t>Now claim mid to end 2018 start up but I still have issues with this.  Site mobilization for civils  underway.</t>
  </si>
  <si>
    <t>Zawar-  trying to figure out how to ramp it up.</t>
  </si>
  <si>
    <t>RA OP mined out 3Q 2018</t>
  </si>
  <si>
    <t xml:space="preserve">Water and ventilation issues at Rajpura Dariba.  </t>
  </si>
  <si>
    <t>Recent conference call-  FY 2017  RA ug- 1.5 MT, 3-4 km haul.</t>
  </si>
  <si>
    <t>Shaft commissioning at RA and SK expected Q3/4 2018</t>
  </si>
  <si>
    <t>Who really gives a shit anymore how much copper they have in the Congo?  Start mining it for Christ's sake.   ;-)</t>
  </si>
  <si>
    <t>Nikolayevsky</t>
  </si>
  <si>
    <t>Ybileyno-Snegirirkhinsky</t>
  </si>
  <si>
    <t>op &lt;7</t>
  </si>
  <si>
    <t>WoodMac</t>
  </si>
  <si>
    <t>ILZSG</t>
  </si>
  <si>
    <t>Average</t>
  </si>
  <si>
    <t>Unallocated/Variance</t>
  </si>
  <si>
    <t>To reconcile mine production with the average of Wood Mac and the ILZSG</t>
  </si>
  <si>
    <t>Tailings retreatment, Priorsky and Abzy mines.</t>
  </si>
  <si>
    <t>Glencore reports total metal from smelting which varies from these figures due to concentrate stockpiling and losses.</t>
  </si>
  <si>
    <t>Shaimerden is processed at full capacity.  I have not made this assumption since it has never been processed at full</t>
  </si>
  <si>
    <t>Wood Mac lists 2017/18 capability  (ie. 100% nameplate capacities) of 395 and 394 MT respectively which appears to assume</t>
  </si>
  <si>
    <t>84,000 T @ 20.6% milled.</t>
  </si>
  <si>
    <t>200,000 T @2.6% Zn mined.</t>
  </si>
  <si>
    <t>1,000,000 T @ 5.1% Zn mined.</t>
  </si>
  <si>
    <t>The relative split between mines will vary slightly for 2016. 2,300,000 T @ 5.8% Zn mined.</t>
  </si>
  <si>
    <t>1,500,000 T @ 0.5% Zn mined.</t>
  </si>
  <si>
    <t xml:space="preserve">To reconcile mine production with the average of Wood Mac and the ILZSG.  I assume I have missed one or two production </t>
  </si>
  <si>
    <t>sources which is why I have made this adjustment.</t>
  </si>
  <si>
    <t>Country</t>
  </si>
  <si>
    <t>Argentina</t>
  </si>
  <si>
    <t>Aguilar</t>
  </si>
  <si>
    <t>Pirquitas</t>
  </si>
  <si>
    <t>Chile</t>
  </si>
  <si>
    <t>El Toqui</t>
  </si>
  <si>
    <t>Honduras</t>
  </si>
  <si>
    <t>El Mochito</t>
  </si>
  <si>
    <t>Guatemala</t>
  </si>
  <si>
    <t>Escobal</t>
  </si>
  <si>
    <t>Brazil</t>
  </si>
  <si>
    <t xml:space="preserve">Vazante/ </t>
  </si>
  <si>
    <t>Morro Agudo</t>
  </si>
  <si>
    <t>Aripuana</t>
  </si>
  <si>
    <t>assumed 50/50 split for "other" and "unallocated" sources</t>
  </si>
  <si>
    <t>Silver Standard</t>
  </si>
  <si>
    <t>Tahoe</t>
  </si>
  <si>
    <t>Sumitomo</t>
  </si>
  <si>
    <t>Votorantim</t>
  </si>
  <si>
    <t>Votorantim/Karmen</t>
  </si>
  <si>
    <t>Laguna Gold</t>
  </si>
  <si>
    <t>Ascendant</t>
  </si>
  <si>
    <t>Illapa/Sinchi Wayra</t>
  </si>
  <si>
    <t>FS</t>
  </si>
  <si>
    <t xml:space="preserve">op  </t>
  </si>
  <si>
    <t>Cuba</t>
  </si>
  <si>
    <t>Castellanos</t>
  </si>
  <si>
    <t>Bolivia (partial)</t>
  </si>
  <si>
    <t>Aguilar split 50/50</t>
  </si>
  <si>
    <t>http://www.redciencia.cu/geobiblio/paper/1997_ValdesNodarse_Pb-Zn%20SEDEX%20deposits.pdf</t>
  </si>
  <si>
    <t>Assume 1 MTPA @ 6.2% Zn, 3.2% Pb</t>
  </si>
  <si>
    <t>restart</t>
  </si>
  <si>
    <t>2015 Resertves-   P+P of 7.4 MT @ 7.5%</t>
  </si>
  <si>
    <t>2016 Reserves-   P+P of 5.4 MT @ 8.2%</t>
  </si>
  <si>
    <t>2016 Reserves-  P+P 1.9 MT @ 11.8% Zn</t>
  </si>
  <si>
    <t>2015 Reserves-  P+P of 2.0 MT @ 11.6% Zn</t>
  </si>
  <si>
    <t>I have therefore added one year to the mine life to reflect the new owner extracting max. value during a bull market.</t>
  </si>
  <si>
    <t>However resources total 22 MT so I suspect they will be able to nurse this one for quite some time in a bull market.</t>
  </si>
  <si>
    <t>http://www.mmg.com/en/Our-Operations/~/media/Files/Exchange%20Announcements/Investors%20and%20Media/News/2016/10/2016-10-18_MROR%20Statement_appendix.pdf</t>
  </si>
  <si>
    <t>MMG used $US 1.20/lb zinc for reserves and $US1.45/lb zinc for resources.</t>
  </si>
  <si>
    <t>South Africa</t>
  </si>
  <si>
    <t>Namibia</t>
  </si>
  <si>
    <t>Kazakhstan</t>
  </si>
  <si>
    <t>MINES THAT HAVE CLOSED SINCE 2012 OR WILL CLOSE IN THE NEXT SEVEN YEARS</t>
  </si>
  <si>
    <t>Results for 2016 not reviewed.  Mineco said to open another small mine</t>
  </si>
  <si>
    <t>MINES CURRENTLY ON STANDBY AND THEIR PRODUCTION POTENTIAL</t>
  </si>
  <si>
    <t>PRODUCTION POTENTIAL ONLY</t>
  </si>
  <si>
    <t>Assumes exploration success.</t>
  </si>
  <si>
    <t>Assumes low ore dilution and exploration success.</t>
  </si>
  <si>
    <t>Assumes 1.2 MTPA @ 6% for 3 years.</t>
  </si>
  <si>
    <t>Limited reserves thought to exist.  Workings flooded.</t>
  </si>
  <si>
    <t>Data will be revised when HZL reports FY results.  Pre-2016 ug mining in OP figures.</t>
  </si>
  <si>
    <t>ramp up-  surface construction essentially complete</t>
  </si>
  <si>
    <t>construction- surface construction in progress</t>
  </si>
  <si>
    <t>PFS-  pre-feasibility study under way</t>
  </si>
  <si>
    <t>FS- feasibility study under way</t>
  </si>
  <si>
    <t>EXISTING MINES THAT WILL EXPAND OR RE-START SHUT-IN CAPACITY</t>
  </si>
  <si>
    <t>Congo</t>
  </si>
  <si>
    <t>No guidance on if or when cutbacks will be removed.  Mid-2017 assumed.</t>
  </si>
  <si>
    <t>Announced cut back in 2015 not clearly evident in actual 2016 production results.</t>
  </si>
  <si>
    <t>Mulling yet another modest increase in capacity.</t>
  </si>
  <si>
    <t>Expansion has gone well.</t>
  </si>
  <si>
    <t>Providing permits received, they expect the expansion to commence in 2019.</t>
  </si>
  <si>
    <t>ORIGINAL DATA AS OF MARCH 2017</t>
  </si>
  <si>
    <t>Lady Loretta</t>
  </si>
  <si>
    <t>For simplicity, identical mill recoveries have been applied to all mines feeding the Mt. Isa mill.</t>
  </si>
  <si>
    <t>Assumes re-start of idle capacity in mid-2017.</t>
  </si>
  <si>
    <t>stand by, op &lt; 7y</t>
  </si>
  <si>
    <t>Assumes re-start in mid-2017.  Under this scenario, reserves are exhausted late 2022</t>
  </si>
  <si>
    <t>Black Star Open Cut, Mt. Isa</t>
  </si>
  <si>
    <t>Handlebar Hill, Mt. Isa</t>
  </si>
  <si>
    <t>Lady Loretta, Mt. Isa</t>
  </si>
  <si>
    <t>George Fisher, Mt. Isa</t>
  </si>
  <si>
    <t>78.8 + 39.2 = 118 MT</t>
  </si>
  <si>
    <t>Assumed to be re-started in 2017 so illustrated in other table</t>
  </si>
  <si>
    <t>No re-start of idle capacity assumed due to lack of Imperial Smelting capacity.</t>
  </si>
  <si>
    <t>2016- 3.1 MT @ 7.6% mined.   Assumed all milled in 2016.   79.5% mill recovery assumed.</t>
  </si>
  <si>
    <t>re-start, op &lt; 7y</t>
  </si>
  <si>
    <t>op &lt;7 y</t>
  </si>
  <si>
    <t>milling out stockpiles, no zinc recovery</t>
  </si>
  <si>
    <t>Waelz kilns capacity and reserves would be exhausted in 3 years if done so.</t>
  </si>
  <si>
    <t>Kaz Zinc can process this ore faster if they choose.  There is about 2 years of ore remaining after 2022.</t>
  </si>
  <si>
    <t>2012-2015, not adjusted for financial year.</t>
  </si>
  <si>
    <t>NEW MINES UNDER CONSTRUCTION, RAMP UP OF NEW MINES  OR ADVANCED STUDY WITH REASONABLE ASSURANCE OF PRODUCTION</t>
  </si>
  <si>
    <t>ORIGINAL DATA FROM MODULES, AUGUST 2016 TO MARCH 2017</t>
  </si>
  <si>
    <t>For simplicity, all production attributed to Chisel North pre-2015</t>
  </si>
  <si>
    <t>If it reopens in 2017 it will be exhausted in 2022 at 1.6 MTPA</t>
  </si>
  <si>
    <t>Could be for sale</t>
  </si>
  <si>
    <t>recover much of this zinc though.  Vallyefield for instance recovers a copper cake.</t>
  </si>
  <si>
    <t>Could be delayed by permitting</t>
  </si>
  <si>
    <t>Mill commissioning mid-2017</t>
  </si>
  <si>
    <t>PROJECTS- MODULE 6</t>
  </si>
  <si>
    <t xml:space="preserve">Crusher station installation at RA still required but will commence a </t>
  </si>
  <si>
    <t>stoping area at depth to bypass this initially.</t>
  </si>
  <si>
    <t>DISCLOSURE</t>
  </si>
  <si>
    <t>DISCLAIMER</t>
  </si>
  <si>
    <t xml:space="preserve">No representation or warranty is made as to the accuracy, completeness or reliability of the information.  </t>
  </si>
  <si>
    <t xml:space="preserve">The author may, from time to time have a long or short position in securities listed and may make purchases and/or sales of those securities in the open market.  </t>
  </si>
  <si>
    <t>The author is a mining engineer who has spent 35 years in the mining industry including a number of years designing, constructing and operating zinc mines.</t>
  </si>
  <si>
    <t xml:space="preserve">The views expressed in this spreadsheet contain information that has been derived from publicly available sources that have not been independently verified. </t>
  </si>
  <si>
    <t xml:space="preserve">The author has received no compensation for the generation of this spreadsheet.  </t>
  </si>
  <si>
    <t xml:space="preserve">This spreadsheet should not be relied upon as a recommendation or forecast by the author.  </t>
  </si>
  <si>
    <t>Other base and precious metals produced by the numerous mines are not listed.</t>
  </si>
  <si>
    <t>ocotiloredux on ceo.ca-      Ocotilo incidently is my favourite golf course in Chandler, Arizona.</t>
  </si>
  <si>
    <t>Significant zinc producing nations such as China, Russia and Iran are not included in this spreadsheet due to lack of publicly available information.</t>
  </si>
  <si>
    <t>The information in this spreadsheet is derived from a series of 12 modules posted on the ceo.ca website in the zinc panel forum.</t>
  </si>
  <si>
    <t>This data is presented without comment relating to the overall world mine supply nor comment with respect to overall world mine demand for refined zinc.</t>
  </si>
  <si>
    <t>exploration for known deposits are not included.</t>
  </si>
  <si>
    <t>The opinions expressed in this spreadsheet are those of the author only.</t>
  </si>
  <si>
    <t xml:space="preserve">This spreadsheet summarizes the findings of research conducted since August 2016 related to zinc mines where sufficient information is available in </t>
  </si>
  <si>
    <t>Data presented in this spreadsheet is zinc in concentrate produced by mines around the world as thousand metric tonnes of zinc in concentrate annually.</t>
  </si>
  <si>
    <t>The spreadsheet includes only existing producers and those in an advanced study or development stage.  Possible producers currently conducting initial assessment work and</t>
  </si>
  <si>
    <t>Bolivia has been relocated to South and Central America</t>
  </si>
  <si>
    <t>CANADIAN MINED ZINC PRODUCTION</t>
  </si>
  <si>
    <t>USA MINED ZINC PRODUCTION</t>
  </si>
  <si>
    <t>INDIA MINED ZINC PRODUCTION</t>
  </si>
  <si>
    <t>AUSTRALIA MINED ZINC PRODUCTION</t>
  </si>
  <si>
    <t>PERU MINED ZINC PRODUCTION</t>
  </si>
  <si>
    <t>EUROPE MINED ZINC PRODUCTION</t>
  </si>
  <si>
    <t>MEXICO MINED ZINC PRODUCTION</t>
  </si>
  <si>
    <t>AFRICA MINED ZINC PRODUCTION</t>
  </si>
  <si>
    <t>KAZAKHSTAN MINED ZINC PRODUCTION</t>
  </si>
  <si>
    <t>SOUTH AND CENTRAL AMERICA MINED ZINC PRODUCTION MINUS MEXICO AND PERU</t>
  </si>
  <si>
    <t>the public forum to make reasonable estimates of prior and future zinc in concentrate production annual quantities to 2022.</t>
  </si>
  <si>
    <t>This spreadsheet is editable.  The author is not responsible for any changes made to this spreadsheet and any conclusions drawn from it by the user.</t>
  </si>
  <si>
    <t>THOUSAND METRIC TONNES OF ZINC IN CONCENTRATE</t>
  </si>
  <si>
    <t>How the sausage is made.  Mt. Isa, Australia, Black Star Open Cut</t>
  </si>
  <si>
    <t>Unlike other commodities, zinc mining is becoming more of an underground mining business.</t>
  </si>
  <si>
    <t>The significance of this is that productivity improvements are much harder to come by due to the nature of the mining</t>
  </si>
  <si>
    <t>For instance, unlike open pits, equipment cannot get bigger payload wise since it must fit into tunnels of fixed size.</t>
  </si>
  <si>
    <t>The net result is underground mining costs escalating at above annual inflation rates which must eventually be reflected in commodity prices.</t>
  </si>
  <si>
    <t>Likewise, skilled underground miners are increasing more expensive to find, train and retain.</t>
  </si>
  <si>
    <t>Negative variance prior to 2016 is due to a reduction in production used for Turkey.</t>
  </si>
  <si>
    <t>The increase post-2016 is related to additional supply due to recent zinc price increase.</t>
  </si>
  <si>
    <t xml:space="preserve">incentive to develop new mines even at increased zinc prices.  In other words, the 40% </t>
  </si>
  <si>
    <t>increase in zinc price over the past year only results in an increase in zinc output of 1-2%.</t>
  </si>
  <si>
    <t xml:space="preserve">This means that the zinc price will be increasing quite dramatically shortly assuming </t>
  </si>
  <si>
    <t>However, the supply elasticity is minimal as illustrated due to the lack of commercial</t>
  </si>
  <si>
    <t xml:space="preserve">a modest increase in demand since the miners have still not been presented with the </t>
  </si>
  <si>
    <t>proper economics to justify new capital for developing greenfield mines.</t>
  </si>
  <si>
    <t>Authors opinion only.</t>
  </si>
  <si>
    <t>Recent conference call-  FY 2017  RA ug- ~1.5 MT, 3-4 km haul from ug.</t>
  </si>
  <si>
    <t>Assuming Glencore reverses their cutbacks, supply is restored by 2019.</t>
  </si>
  <si>
    <t>I have used the overall mill recovery for the four mines for simplicity</t>
  </si>
  <si>
    <t>2016-3.6 MT @5.1% mined.  Assumed 2.5 MT was milled in 2016.  Remaining 1.1 MT milled in 2017, could be more/less stockpile than this.</t>
  </si>
  <si>
    <t>8 mines in Canada, 6 in Australia closed or closing.</t>
  </si>
  <si>
    <t>How long can this persist?</t>
  </si>
  <si>
    <t>(advice to Glencore,  keep Lady Loretta closed)</t>
  </si>
  <si>
    <t>On schedule. High manganese.</t>
  </si>
  <si>
    <t>Could be delayed for numerous factors.  High flourine.</t>
  </si>
  <si>
    <t>High manganese.</t>
  </si>
  <si>
    <t>ZINC MINING RAMBLINGS- THE SUMMARY</t>
  </si>
  <si>
    <t>Doug Beattie, Mining Engineer (retired)     April 2017, Saskatoon, Saskatchewan</t>
  </si>
  <si>
    <t>Too humid to worry about proper protective safety clothes.   The mine is still a top ten zinc producer in the world.</t>
  </si>
  <si>
    <t>The young snot nosed engineer in the bulk sample decline at the McArthur River Zinc mine, NT Australia in 1991 which was some of my better design work.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</si>
</sst>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(* #,##0_);_(* \(#,##0\);_(* &quot;-&quot;??_);_(@_)"/>
    <numFmt numFmtId="165" formatCode="#,##0.0"/>
    <numFmt numFmtId="166" formatCode="0.0"/>
    <numFmt numFmtId="167" formatCode="0.0%"/>
    <numFmt numFmtId="168" formatCode="_-* #,##0_-;\-* #,##0_-;_-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5">
    <xf numFmtId="0" fontId="0" fillId="0" borderId="0" xfId="0"/>
    <xf numFmtId="0" fontId="0" fillId="0" borderId="1" xfId="0" applyBorder="1"/>
    <xf numFmtId="0" fontId="0" fillId="0" borderId="5" xfId="0" applyBorder="1"/>
    <xf numFmtId="0" fontId="0" fillId="0" borderId="14" xfId="0" applyBorder="1"/>
    <xf numFmtId="0" fontId="0" fillId="0" borderId="13" xfId="0" applyBorder="1"/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3" fillId="0" borderId="2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9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4" xfId="0" applyFont="1" applyBorder="1"/>
    <xf numFmtId="0" fontId="3" fillId="0" borderId="7" xfId="0" applyFont="1" applyBorder="1"/>
    <xf numFmtId="0" fontId="3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2" xfId="0" applyFont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24" xfId="0" applyFont="1" applyBorder="1"/>
    <xf numFmtId="0" fontId="3" fillId="0" borderId="14" xfId="0" applyFont="1" applyBorder="1"/>
    <xf numFmtId="0" fontId="3" fillId="0" borderId="13" xfId="0" applyFont="1" applyBorder="1"/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3" xfId="0" applyFont="1" applyBorder="1"/>
    <xf numFmtId="0" fontId="4" fillId="0" borderId="0" xfId="0" applyFont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" fillId="0" borderId="0" xfId="0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3" fillId="0" borderId="1" xfId="0" applyFont="1" applyBorder="1"/>
    <xf numFmtId="0" fontId="5" fillId="0" borderId="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 applyAlignment="1">
      <alignment horizontal="center"/>
    </xf>
    <xf numFmtId="0" fontId="3" fillId="0" borderId="34" xfId="0" applyFont="1" applyBorder="1"/>
    <xf numFmtId="0" fontId="3" fillId="0" borderId="35" xfId="0" applyFont="1" applyBorder="1"/>
    <xf numFmtId="0" fontId="3" fillId="0" borderId="35" xfId="0" applyFont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164" fontId="4" fillId="0" borderId="0" xfId="1" applyNumberFormat="1" applyFont="1" applyAlignment="1">
      <alignment horizontal="center"/>
    </xf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6" fillId="0" borderId="4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0" borderId="2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3" fontId="5" fillId="0" borderId="41" xfId="0" applyNumberFormat="1" applyFont="1" applyBorder="1" applyAlignment="1">
      <alignment horizontal="center" vertical="center" wrapText="1"/>
    </xf>
    <xf numFmtId="3" fontId="5" fillId="0" borderId="42" xfId="0" applyNumberFormat="1" applyFont="1" applyBorder="1" applyAlignment="1">
      <alignment horizontal="center" vertical="center" wrapText="1"/>
    </xf>
    <xf numFmtId="3" fontId="5" fillId="0" borderId="23" xfId="0" applyNumberFormat="1" applyFont="1" applyBorder="1" applyAlignment="1">
      <alignment horizontal="center" vertical="center" wrapText="1"/>
    </xf>
    <xf numFmtId="0" fontId="5" fillId="0" borderId="43" xfId="0" applyFont="1" applyBorder="1" applyAlignment="1">
      <alignment vertical="center"/>
    </xf>
    <xf numFmtId="3" fontId="5" fillId="0" borderId="44" xfId="0" applyNumberFormat="1" applyFont="1" applyBorder="1" applyAlignment="1">
      <alignment horizontal="center" vertical="center" wrapText="1"/>
    </xf>
    <xf numFmtId="3" fontId="5" fillId="0" borderId="45" xfId="0" applyNumberFormat="1" applyFont="1" applyBorder="1" applyAlignment="1">
      <alignment horizontal="center" vertical="center" wrapText="1"/>
    </xf>
    <xf numFmtId="3" fontId="5" fillId="0" borderId="43" xfId="0" applyNumberFormat="1" applyFont="1" applyBorder="1" applyAlignment="1">
      <alignment horizontal="center" vertical="center" wrapText="1"/>
    </xf>
    <xf numFmtId="0" fontId="5" fillId="0" borderId="46" xfId="0" applyFont="1" applyBorder="1" applyAlignment="1">
      <alignment vertical="center" wrapText="1"/>
    </xf>
    <xf numFmtId="3" fontId="5" fillId="0" borderId="47" xfId="0" applyNumberFormat="1" applyFont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center" vertical="center" wrapText="1"/>
    </xf>
    <xf numFmtId="3" fontId="5" fillId="0" borderId="46" xfId="0" applyNumberFormat="1" applyFont="1" applyBorder="1" applyAlignment="1">
      <alignment horizontal="center" vertical="center" wrapText="1"/>
    </xf>
    <xf numFmtId="0" fontId="5" fillId="0" borderId="46" xfId="0" applyFont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0" fontId="5" fillId="0" borderId="23" xfId="0" applyFont="1" applyBorder="1" applyAlignment="1">
      <alignment vertical="center" wrapText="1"/>
    </xf>
    <xf numFmtId="3" fontId="5" fillId="0" borderId="41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3" fontId="5" fillId="0" borderId="40" xfId="0" applyNumberFormat="1" applyFont="1" applyBorder="1" applyAlignment="1">
      <alignment horizontal="center" vertical="center"/>
    </xf>
    <xf numFmtId="3" fontId="5" fillId="0" borderId="29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10" fontId="5" fillId="0" borderId="29" xfId="0" applyNumberFormat="1" applyFont="1" applyBorder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65" fontId="5" fillId="0" borderId="24" xfId="0" applyNumberFormat="1" applyFont="1" applyBorder="1" applyAlignment="1">
      <alignment horizontal="center" vertical="center" wrapText="1"/>
    </xf>
    <xf numFmtId="165" fontId="5" fillId="0" borderId="25" xfId="0" applyNumberFormat="1" applyFont="1" applyBorder="1" applyAlignment="1">
      <alignment horizontal="center" vertical="center" wrapText="1"/>
    </xf>
    <xf numFmtId="165" fontId="5" fillId="0" borderId="12" xfId="0" applyNumberFormat="1" applyFont="1" applyBorder="1" applyAlignment="1">
      <alignment horizontal="center" vertical="center" wrapText="1"/>
    </xf>
    <xf numFmtId="165" fontId="5" fillId="0" borderId="18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5" fontId="5" fillId="0" borderId="14" xfId="0" applyNumberFormat="1" applyFont="1" applyBorder="1" applyAlignment="1">
      <alignment horizontal="center" vertical="center" wrapText="1"/>
    </xf>
    <xf numFmtId="10" fontId="5" fillId="0" borderId="5" xfId="0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vertical="center" wrapText="1"/>
    </xf>
    <xf numFmtId="165" fontId="5" fillId="0" borderId="50" xfId="0" applyNumberFormat="1" applyFont="1" applyBorder="1" applyAlignment="1">
      <alignment horizontal="center" vertical="center" wrapText="1"/>
    </xf>
    <xf numFmtId="165" fontId="5" fillId="0" borderId="51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5" fillId="0" borderId="50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2" xfId="0" applyBorder="1"/>
    <xf numFmtId="0" fontId="10" fillId="0" borderId="4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0" fillId="0" borderId="47" xfId="0" applyFont="1" applyBorder="1" applyAlignment="1">
      <alignment vertical="center" wrapText="1"/>
    </xf>
    <xf numFmtId="0" fontId="0" fillId="0" borderId="48" xfId="0" applyFont="1" applyBorder="1" applyAlignment="1">
      <alignment horizontal="center" vertical="center" wrapText="1"/>
    </xf>
    <xf numFmtId="0" fontId="9" fillId="0" borderId="47" xfId="0" applyFont="1" applyBorder="1" applyAlignment="1">
      <alignment vertical="center" wrapText="1"/>
    </xf>
    <xf numFmtId="0" fontId="9" fillId="0" borderId="48" xfId="0" applyFont="1" applyBorder="1" applyAlignment="1">
      <alignment horizontal="center" vertical="center" wrapText="1"/>
    </xf>
    <xf numFmtId="0" fontId="10" fillId="0" borderId="41" xfId="0" applyFont="1" applyBorder="1" applyAlignment="1">
      <alignment vertical="center" wrapText="1"/>
    </xf>
    <xf numFmtId="0" fontId="10" fillId="0" borderId="47" xfId="0" applyFont="1" applyBorder="1" applyAlignment="1">
      <alignment vertical="center" wrapText="1"/>
    </xf>
    <xf numFmtId="0" fontId="4" fillId="0" borderId="44" xfId="0" applyFont="1" applyBorder="1" applyAlignment="1">
      <alignment vertical="center" wrapText="1"/>
    </xf>
    <xf numFmtId="0" fontId="4" fillId="0" borderId="45" xfId="0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3" fontId="4" fillId="0" borderId="48" xfId="0" applyNumberFormat="1" applyFont="1" applyBorder="1" applyAlignment="1">
      <alignment vertical="center" wrapText="1"/>
    </xf>
    <xf numFmtId="0" fontId="4" fillId="0" borderId="48" xfId="0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horizontal="center" vertical="center" wrapText="1"/>
    </xf>
    <xf numFmtId="0" fontId="4" fillId="0" borderId="45" xfId="0" applyFont="1" applyBorder="1" applyAlignment="1">
      <alignment vertical="center" wrapText="1"/>
    </xf>
    <xf numFmtId="0" fontId="4" fillId="0" borderId="48" xfId="0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0" fillId="0" borderId="48" xfId="0" applyFont="1" applyBorder="1" applyAlignment="1">
      <alignment vertical="center" wrapText="1"/>
    </xf>
    <xf numFmtId="0" fontId="8" fillId="0" borderId="48" xfId="0" applyFont="1" applyBorder="1" applyAlignment="1">
      <alignment vertical="center" wrapText="1"/>
    </xf>
    <xf numFmtId="0" fontId="9" fillId="0" borderId="48" xfId="0" applyFont="1" applyBorder="1" applyAlignment="1">
      <alignment vertical="center" wrapText="1"/>
    </xf>
    <xf numFmtId="0" fontId="2" fillId="0" borderId="54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48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3" fillId="0" borderId="56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center" vertical="center" wrapText="1"/>
    </xf>
    <xf numFmtId="166" fontId="3" fillId="0" borderId="14" xfId="0" applyNumberFormat="1" applyFont="1" applyBorder="1" applyAlignment="1">
      <alignment horizontal="center" vertical="center" wrapText="1"/>
    </xf>
    <xf numFmtId="0" fontId="3" fillId="0" borderId="38" xfId="0" applyFont="1" applyBorder="1" applyAlignment="1">
      <alignment vertical="center" wrapText="1"/>
    </xf>
    <xf numFmtId="0" fontId="3" fillId="0" borderId="38" xfId="0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  <xf numFmtId="166" fontId="3" fillId="0" borderId="18" xfId="0" applyNumberFormat="1" applyFont="1" applyBorder="1" applyAlignment="1">
      <alignment horizontal="center" vertical="center" wrapText="1"/>
    </xf>
    <xf numFmtId="0" fontId="3" fillId="0" borderId="57" xfId="0" applyFont="1" applyBorder="1" applyAlignment="1">
      <alignment vertical="center" wrapText="1"/>
    </xf>
    <xf numFmtId="0" fontId="3" fillId="0" borderId="57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166" fontId="3" fillId="0" borderId="58" xfId="0" applyNumberFormat="1" applyFont="1" applyBorder="1" applyAlignment="1">
      <alignment horizontal="center" vertical="center" wrapText="1"/>
    </xf>
    <xf numFmtId="166" fontId="3" fillId="0" borderId="59" xfId="0" applyNumberFormat="1" applyFont="1" applyBorder="1" applyAlignment="1">
      <alignment horizontal="center" vertical="center" wrapText="1"/>
    </xf>
    <xf numFmtId="0" fontId="2" fillId="0" borderId="62" xfId="0" applyFont="1" applyBorder="1" applyAlignment="1">
      <alignment vertical="center" wrapText="1"/>
    </xf>
    <xf numFmtId="166" fontId="2" fillId="0" borderId="8" xfId="0" applyNumberFormat="1" applyFont="1" applyBorder="1" applyAlignment="1">
      <alignment horizontal="center" vertical="center" wrapText="1"/>
    </xf>
    <xf numFmtId="166" fontId="2" fillId="0" borderId="15" xfId="0" applyNumberFormat="1" applyFont="1" applyBorder="1" applyAlignment="1">
      <alignment horizontal="center" vertical="center" wrapText="1"/>
    </xf>
    <xf numFmtId="0" fontId="3" fillId="0" borderId="60" xfId="0" applyFont="1" applyBorder="1" applyAlignment="1">
      <alignment vertical="center" wrapText="1"/>
    </xf>
    <xf numFmtId="0" fontId="3" fillId="0" borderId="60" xfId="0" applyFont="1" applyBorder="1" applyAlignment="1">
      <alignment horizontal="center" vertical="center" wrapText="1"/>
    </xf>
    <xf numFmtId="166" fontId="3" fillId="0" borderId="32" xfId="0" applyNumberFormat="1" applyFont="1" applyBorder="1" applyAlignment="1">
      <alignment horizontal="center" vertical="center" wrapText="1"/>
    </xf>
    <xf numFmtId="166" fontId="3" fillId="0" borderId="61" xfId="0" applyNumberFormat="1" applyFont="1" applyBorder="1" applyAlignment="1">
      <alignment horizontal="center" vertical="center" wrapText="1"/>
    </xf>
    <xf numFmtId="0" fontId="5" fillId="0" borderId="57" xfId="0" applyFont="1" applyBorder="1" applyAlignment="1">
      <alignment vertical="center" wrapText="1"/>
    </xf>
    <xf numFmtId="0" fontId="3" fillId="0" borderId="6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166" fontId="3" fillId="0" borderId="54" xfId="0" applyNumberFormat="1" applyFont="1" applyBorder="1" applyAlignment="1">
      <alignment horizontal="center" vertical="center" wrapText="1"/>
    </xf>
    <xf numFmtId="166" fontId="3" fillId="0" borderId="55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/>
    </xf>
    <xf numFmtId="0" fontId="3" fillId="0" borderId="23" xfId="0" applyFont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166" fontId="2" fillId="0" borderId="0" xfId="0" applyNumberFormat="1" applyFont="1" applyAlignment="1">
      <alignment horizontal="center"/>
    </xf>
    <xf numFmtId="166" fontId="2" fillId="0" borderId="24" xfId="0" applyNumberFormat="1" applyFont="1" applyBorder="1" applyAlignment="1">
      <alignment horizontal="center" vertical="center" wrapText="1"/>
    </xf>
    <xf numFmtId="166" fontId="2" fillId="0" borderId="25" xfId="0" applyNumberFormat="1" applyFont="1" applyBorder="1" applyAlignment="1">
      <alignment horizontal="center" vertical="center" wrapText="1"/>
    </xf>
    <xf numFmtId="0" fontId="14" fillId="0" borderId="53" xfId="0" applyFont="1" applyBorder="1" applyAlignment="1">
      <alignment vertical="center" wrapText="1"/>
    </xf>
    <xf numFmtId="0" fontId="5" fillId="0" borderId="63" xfId="0" applyFont="1" applyBorder="1" applyAlignment="1">
      <alignment vertical="center" wrapText="1"/>
    </xf>
    <xf numFmtId="0" fontId="5" fillId="0" borderId="58" xfId="0" applyFont="1" applyBorder="1" applyAlignment="1">
      <alignment vertical="center" wrapText="1"/>
    </xf>
    <xf numFmtId="165" fontId="5" fillId="0" borderId="58" xfId="0" applyNumberFormat="1" applyFont="1" applyBorder="1" applyAlignment="1">
      <alignment horizontal="center" vertical="center" wrapText="1"/>
    </xf>
    <xf numFmtId="165" fontId="5" fillId="0" borderId="59" xfId="0" applyNumberFormat="1" applyFont="1" applyBorder="1" applyAlignment="1">
      <alignment horizontal="center" vertical="center" wrapText="1"/>
    </xf>
    <xf numFmtId="0" fontId="5" fillId="0" borderId="31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165" fontId="5" fillId="0" borderId="32" xfId="0" applyNumberFormat="1" applyFont="1" applyBorder="1" applyAlignment="1">
      <alignment horizontal="center" vertical="center" wrapText="1"/>
    </xf>
    <xf numFmtId="165" fontId="5" fillId="0" borderId="6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165" fontId="5" fillId="0" borderId="10" xfId="0" applyNumberFormat="1" applyFont="1" applyBorder="1" applyAlignment="1">
      <alignment horizontal="center" vertical="center" wrapText="1"/>
    </xf>
    <xf numFmtId="165" fontId="5" fillId="0" borderId="16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165" fontId="6" fillId="0" borderId="35" xfId="0" applyNumberFormat="1" applyFont="1" applyBorder="1" applyAlignment="1">
      <alignment horizontal="center" vertical="center" wrapText="1"/>
    </xf>
    <xf numFmtId="0" fontId="5" fillId="0" borderId="63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165" fontId="5" fillId="0" borderId="35" xfId="0" applyNumberFormat="1" applyFont="1" applyBorder="1" applyAlignment="1">
      <alignment horizontal="center" vertical="center" wrapText="1"/>
    </xf>
    <xf numFmtId="165" fontId="5" fillId="0" borderId="64" xfId="0" applyNumberFormat="1" applyFont="1" applyBorder="1" applyAlignment="1">
      <alignment horizontal="center" vertical="center" wrapText="1"/>
    </xf>
    <xf numFmtId="0" fontId="3" fillId="0" borderId="58" xfId="0" applyFont="1" applyBorder="1"/>
    <xf numFmtId="0" fontId="5" fillId="0" borderId="0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165" fontId="5" fillId="0" borderId="8" xfId="0" applyNumberFormat="1" applyFont="1" applyBorder="1" applyAlignment="1">
      <alignment horizontal="center" vertical="center" wrapText="1"/>
    </xf>
    <xf numFmtId="165" fontId="5" fillId="0" borderId="15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5" fillId="0" borderId="44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3" fontId="16" fillId="0" borderId="45" xfId="0" applyNumberFormat="1" applyFont="1" applyBorder="1" applyAlignment="1">
      <alignment horizontal="center" vertical="center" wrapText="1"/>
    </xf>
    <xf numFmtId="3" fontId="16" fillId="0" borderId="45" xfId="0" applyNumberFormat="1" applyFont="1" applyBorder="1" applyAlignment="1">
      <alignment vertical="center" wrapText="1"/>
    </xf>
    <xf numFmtId="0" fontId="15" fillId="0" borderId="47" xfId="0" applyFont="1" applyBorder="1" applyAlignment="1">
      <alignment vertical="center" wrapText="1"/>
    </xf>
    <xf numFmtId="3" fontId="16" fillId="0" borderId="48" xfId="0" applyNumberFormat="1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3" fontId="16" fillId="0" borderId="48" xfId="0" applyNumberFormat="1" applyFont="1" applyBorder="1" applyAlignment="1">
      <alignment vertical="center" wrapText="1"/>
    </xf>
    <xf numFmtId="0" fontId="3" fillId="0" borderId="52" xfId="0" applyFont="1" applyBorder="1"/>
    <xf numFmtId="0" fontId="0" fillId="0" borderId="24" xfId="0" applyBorder="1"/>
    <xf numFmtId="0" fontId="3" fillId="0" borderId="66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 wrapText="1"/>
    </xf>
    <xf numFmtId="166" fontId="3" fillId="0" borderId="24" xfId="0" applyNumberFormat="1" applyFont="1" applyBorder="1" applyAlignment="1">
      <alignment horizontal="center" vertical="center" wrapText="1"/>
    </xf>
    <xf numFmtId="166" fontId="3" fillId="0" borderId="25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center"/>
    </xf>
    <xf numFmtId="166" fontId="3" fillId="0" borderId="25" xfId="0" applyNumberFormat="1" applyFont="1" applyBorder="1" applyAlignment="1">
      <alignment horizontal="center"/>
    </xf>
    <xf numFmtId="0" fontId="3" fillId="0" borderId="57" xfId="0" applyFont="1" applyBorder="1"/>
    <xf numFmtId="166" fontId="3" fillId="0" borderId="6" xfId="0" applyNumberFormat="1" applyFont="1" applyBorder="1" applyAlignment="1">
      <alignment horizontal="center"/>
    </xf>
    <xf numFmtId="166" fontId="3" fillId="0" borderId="12" xfId="0" applyNumberFormat="1" applyFont="1" applyBorder="1" applyAlignment="1">
      <alignment horizontal="center"/>
    </xf>
    <xf numFmtId="166" fontId="3" fillId="0" borderId="27" xfId="0" applyNumberFormat="1" applyFont="1" applyBorder="1" applyAlignment="1">
      <alignment horizontal="center"/>
    </xf>
    <xf numFmtId="166" fontId="3" fillId="0" borderId="28" xfId="0" applyNumberFormat="1" applyFont="1" applyBorder="1" applyAlignment="1">
      <alignment horizontal="center"/>
    </xf>
    <xf numFmtId="166" fontId="3" fillId="0" borderId="18" xfId="0" applyNumberFormat="1" applyFont="1" applyBorder="1" applyAlignment="1">
      <alignment horizontal="center"/>
    </xf>
    <xf numFmtId="166" fontId="3" fillId="0" borderId="22" xfId="0" applyNumberFormat="1" applyFont="1" applyBorder="1" applyAlignment="1">
      <alignment horizontal="center"/>
    </xf>
    <xf numFmtId="166" fontId="3" fillId="0" borderId="11" xfId="0" applyNumberFormat="1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3" fillId="0" borderId="18" xfId="0" applyNumberFormat="1" applyFont="1" applyFill="1" applyBorder="1" applyAlignment="1">
      <alignment horizontal="center"/>
    </xf>
    <xf numFmtId="166" fontId="3" fillId="0" borderId="22" xfId="0" applyNumberFormat="1" applyFont="1" applyFill="1" applyBorder="1" applyAlignment="1">
      <alignment horizontal="center"/>
    </xf>
    <xf numFmtId="0" fontId="0" fillId="0" borderId="56" xfId="0" applyBorder="1"/>
    <xf numFmtId="0" fontId="3" fillId="0" borderId="56" xfId="0" applyFont="1" applyBorder="1"/>
    <xf numFmtId="0" fontId="3" fillId="0" borderId="65" xfId="0" applyFont="1" applyBorder="1"/>
    <xf numFmtId="0" fontId="3" fillId="2" borderId="5" xfId="0" applyFont="1" applyFill="1" applyBorder="1" applyAlignment="1">
      <alignment horizontal="center"/>
    </xf>
    <xf numFmtId="0" fontId="10" fillId="0" borderId="0" xfId="0" applyFont="1"/>
    <xf numFmtId="0" fontId="13" fillId="0" borderId="10" xfId="0" applyFont="1" applyBorder="1" applyAlignment="1">
      <alignment horizontal="center"/>
    </xf>
    <xf numFmtId="9" fontId="0" fillId="0" borderId="0" xfId="0" applyNumberFormat="1"/>
    <xf numFmtId="0" fontId="18" fillId="0" borderId="0" xfId="0" applyFont="1"/>
    <xf numFmtId="0" fontId="19" fillId="3" borderId="21" xfId="0" applyFont="1" applyFill="1" applyBorder="1" applyAlignment="1">
      <alignment horizontal="center"/>
    </xf>
    <xf numFmtId="0" fontId="19" fillId="3" borderId="13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3" borderId="28" xfId="0" applyFont="1" applyFill="1" applyBorder="1" applyAlignment="1">
      <alignment horizontal="center"/>
    </xf>
    <xf numFmtId="0" fontId="2" fillId="0" borderId="5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1" xfId="0" applyFont="1" applyBorder="1" applyAlignment="1">
      <alignment vertical="center" wrapText="1"/>
    </xf>
    <xf numFmtId="0" fontId="10" fillId="0" borderId="47" xfId="0" applyFont="1" applyBorder="1" applyAlignment="1">
      <alignment vertical="center" wrapText="1"/>
    </xf>
    <xf numFmtId="0" fontId="10" fillId="0" borderId="5" xfId="0" applyFont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9" fillId="4" borderId="5" xfId="0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19" fillId="5" borderId="13" xfId="0" applyFont="1" applyFill="1" applyBorder="1" applyAlignment="1">
      <alignment horizontal="center"/>
    </xf>
    <xf numFmtId="0" fontId="19" fillId="5" borderId="5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19" fillId="5" borderId="6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19" fillId="5" borderId="12" xfId="0" applyFont="1" applyFill="1" applyBorder="1" applyAlignment="1">
      <alignment horizontal="center"/>
    </xf>
    <xf numFmtId="0" fontId="2" fillId="0" borderId="0" xfId="0" applyFont="1"/>
    <xf numFmtId="0" fontId="0" fillId="0" borderId="5" xfId="0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9" xfId="0" applyBorder="1" applyAlignment="1">
      <alignment horizontal="center"/>
    </xf>
    <xf numFmtId="0" fontId="19" fillId="3" borderId="8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9" fillId="5" borderId="12" xfId="0" applyFont="1" applyFill="1" applyBorder="1"/>
    <xf numFmtId="0" fontId="2" fillId="3" borderId="22" xfId="0" applyFont="1" applyFill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2" fillId="3" borderId="70" xfId="0" applyFont="1" applyFill="1" applyBorder="1" applyAlignment="1">
      <alignment horizontal="center"/>
    </xf>
    <xf numFmtId="0" fontId="3" fillId="0" borderId="71" xfId="0" applyFont="1" applyBorder="1" applyAlignment="1">
      <alignment horizontal="center"/>
    </xf>
    <xf numFmtId="0" fontId="19" fillId="3" borderId="41" xfId="0" applyFont="1" applyFill="1" applyBorder="1" applyAlignment="1">
      <alignment horizontal="center"/>
    </xf>
    <xf numFmtId="0" fontId="2" fillId="3" borderId="47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38" xfId="0" applyFont="1" applyFill="1" applyBorder="1"/>
    <xf numFmtId="0" fontId="2" fillId="5" borderId="57" xfId="0" applyFont="1" applyFill="1" applyBorder="1"/>
    <xf numFmtId="0" fontId="2" fillId="5" borderId="56" xfId="0" applyFont="1" applyFill="1" applyBorder="1"/>
    <xf numFmtId="10" fontId="0" fillId="0" borderId="0" xfId="0" applyNumberFormat="1"/>
    <xf numFmtId="43" fontId="0" fillId="0" borderId="0" xfId="1" applyFont="1"/>
    <xf numFmtId="43" fontId="0" fillId="0" borderId="0" xfId="0" applyNumberFormat="1"/>
    <xf numFmtId="0" fontId="3" fillId="0" borderId="58" xfId="0" applyFont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72" xfId="0" applyFont="1" applyFill="1" applyBorder="1" applyAlignment="1">
      <alignment horizontal="center"/>
    </xf>
    <xf numFmtId="0" fontId="3" fillId="2" borderId="73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74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72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75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0" fillId="0" borderId="7" xfId="0" applyBorder="1"/>
    <xf numFmtId="0" fontId="2" fillId="5" borderId="22" xfId="0" applyFont="1" applyFill="1" applyBorder="1" applyAlignment="1">
      <alignment horizontal="center"/>
    </xf>
    <xf numFmtId="0" fontId="2" fillId="5" borderId="0" xfId="0" applyFont="1" applyFill="1" applyBorder="1"/>
    <xf numFmtId="0" fontId="5" fillId="0" borderId="12" xfId="0" applyFont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165" fontId="5" fillId="0" borderId="26" xfId="0" applyNumberFormat="1" applyFont="1" applyBorder="1" applyAlignment="1">
      <alignment horizontal="center" vertical="center" wrapText="1"/>
    </xf>
    <xf numFmtId="165" fontId="5" fillId="0" borderId="22" xfId="0" applyNumberFormat="1" applyFont="1" applyBorder="1" applyAlignment="1">
      <alignment horizontal="center" vertical="center" wrapText="1"/>
    </xf>
    <xf numFmtId="165" fontId="5" fillId="0" borderId="13" xfId="0" applyNumberFormat="1" applyFont="1" applyBorder="1" applyAlignment="1">
      <alignment horizontal="center" vertical="center" wrapText="1"/>
    </xf>
    <xf numFmtId="165" fontId="5" fillId="0" borderId="76" xfId="0" applyNumberFormat="1" applyFont="1" applyBorder="1" applyAlignment="1">
      <alignment horizontal="center" vertical="center" wrapText="1"/>
    </xf>
    <xf numFmtId="10" fontId="5" fillId="0" borderId="13" xfId="0" applyNumberFormat="1" applyFont="1" applyBorder="1" applyAlignment="1">
      <alignment horizontal="center" vertical="center"/>
    </xf>
    <xf numFmtId="165" fontId="19" fillId="3" borderId="26" xfId="0" applyNumberFormat="1" applyFont="1" applyFill="1" applyBorder="1" applyAlignment="1">
      <alignment horizontal="center" vertical="center" wrapText="1"/>
    </xf>
    <xf numFmtId="165" fontId="19" fillId="6" borderId="24" xfId="0" applyNumberFormat="1" applyFont="1" applyFill="1" applyBorder="1" applyAlignment="1">
      <alignment horizontal="center" vertical="center" wrapText="1"/>
    </xf>
    <xf numFmtId="166" fontId="2" fillId="0" borderId="65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/>
    </xf>
    <xf numFmtId="165" fontId="5" fillId="0" borderId="20" xfId="0" applyNumberFormat="1" applyFont="1" applyBorder="1" applyAlignment="1">
      <alignment horizontal="center" vertical="center" wrapText="1"/>
    </xf>
    <xf numFmtId="165" fontId="5" fillId="0" borderId="77" xfId="0" applyNumberFormat="1" applyFont="1" applyBorder="1" applyAlignment="1">
      <alignment horizontal="center" vertical="center" wrapText="1"/>
    </xf>
    <xf numFmtId="165" fontId="5" fillId="0" borderId="70" xfId="0" applyNumberFormat="1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166" fontId="2" fillId="6" borderId="5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5" fontId="19" fillId="3" borderId="70" xfId="0" applyNumberFormat="1" applyFont="1" applyFill="1" applyBorder="1" applyAlignment="1">
      <alignment horizontal="center" vertical="center" wrapText="1"/>
    </xf>
    <xf numFmtId="165" fontId="19" fillId="6" borderId="58" xfId="0" applyNumberFormat="1" applyFont="1" applyFill="1" applyBorder="1" applyAlignment="1">
      <alignment horizontal="center" vertical="center" wrapText="1"/>
    </xf>
    <xf numFmtId="165" fontId="6" fillId="3" borderId="20" xfId="0" applyNumberFormat="1" applyFont="1" applyFill="1" applyBorder="1" applyAlignment="1">
      <alignment horizontal="center" vertical="center" wrapText="1"/>
    </xf>
    <xf numFmtId="165" fontId="6" fillId="3" borderId="22" xfId="0" applyNumberFormat="1" applyFont="1" applyFill="1" applyBorder="1" applyAlignment="1">
      <alignment horizontal="center" vertical="center" wrapText="1"/>
    </xf>
    <xf numFmtId="165" fontId="6" fillId="3" borderId="77" xfId="0" applyNumberFormat="1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5" fontId="20" fillId="3" borderId="22" xfId="0" applyNumberFormat="1" applyFont="1" applyFill="1" applyBorder="1" applyAlignment="1">
      <alignment horizontal="center" vertical="center" wrapText="1"/>
    </xf>
    <xf numFmtId="165" fontId="6" fillId="3" borderId="70" xfId="0" applyNumberFormat="1" applyFont="1" applyFill="1" applyBorder="1" applyAlignment="1">
      <alignment horizontal="center" vertical="center" wrapText="1"/>
    </xf>
    <xf numFmtId="165" fontId="6" fillId="3" borderId="71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0" fontId="5" fillId="0" borderId="0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3" fontId="5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165" fontId="20" fillId="3" borderId="13" xfId="0" applyNumberFormat="1" applyFont="1" applyFill="1" applyBorder="1" applyAlignment="1">
      <alignment horizontal="center" vertical="center" wrapText="1"/>
    </xf>
    <xf numFmtId="165" fontId="20" fillId="3" borderId="76" xfId="0" applyNumberFormat="1" applyFont="1" applyFill="1" applyBorder="1" applyAlignment="1">
      <alignment horizontal="center" vertical="center" wrapText="1"/>
    </xf>
    <xf numFmtId="165" fontId="19" fillId="3" borderId="20" xfId="0" applyNumberFormat="1" applyFont="1" applyFill="1" applyBorder="1" applyAlignment="1">
      <alignment horizontal="center" vertical="center" wrapText="1"/>
    </xf>
    <xf numFmtId="0" fontId="20" fillId="0" borderId="0" xfId="0" applyFont="1"/>
    <xf numFmtId="165" fontId="6" fillId="8" borderId="12" xfId="0" applyNumberFormat="1" applyFont="1" applyFill="1" applyBorder="1" applyAlignment="1">
      <alignment horizontal="center" vertical="center" wrapText="1"/>
    </xf>
    <xf numFmtId="165" fontId="6" fillId="8" borderId="18" xfId="0" applyNumberFormat="1" applyFont="1" applyFill="1" applyBorder="1" applyAlignment="1">
      <alignment horizontal="center" vertical="center" wrapText="1"/>
    </xf>
    <xf numFmtId="165" fontId="19" fillId="3" borderId="77" xfId="0" applyNumberFormat="1" applyFont="1" applyFill="1" applyBorder="1" applyAlignment="1">
      <alignment horizontal="center" vertical="center" wrapText="1"/>
    </xf>
    <xf numFmtId="165" fontId="19" fillId="8" borderId="3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0" fillId="3" borderId="8" xfId="0" applyFont="1" applyFill="1" applyBorder="1" applyAlignment="1">
      <alignment horizontal="center"/>
    </xf>
    <xf numFmtId="165" fontId="19" fillId="3" borderId="71" xfId="0" applyNumberFormat="1" applyFont="1" applyFill="1" applyBorder="1" applyAlignment="1">
      <alignment horizontal="center" vertical="center" wrapText="1"/>
    </xf>
    <xf numFmtId="165" fontId="19" fillId="3" borderId="22" xfId="0" applyNumberFormat="1" applyFont="1" applyFill="1" applyBorder="1" applyAlignment="1">
      <alignment horizontal="center" vertical="center" wrapText="1"/>
    </xf>
    <xf numFmtId="165" fontId="19" fillId="8" borderId="35" xfId="0" applyNumberFormat="1" applyFont="1" applyFill="1" applyBorder="1" applyAlignment="1">
      <alignment horizontal="center" vertical="center" wrapText="1"/>
    </xf>
    <xf numFmtId="165" fontId="19" fillId="8" borderId="64" xfId="0" applyNumberFormat="1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/>
    </xf>
    <xf numFmtId="0" fontId="5" fillId="0" borderId="49" xfId="0" applyFont="1" applyBorder="1" applyAlignment="1">
      <alignment horizontal="center" vertical="center" wrapText="1"/>
    </xf>
    <xf numFmtId="165" fontId="0" fillId="0" borderId="15" xfId="0" applyNumberForma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0" fontId="14" fillId="0" borderId="0" xfId="0" applyFont="1"/>
    <xf numFmtId="166" fontId="2" fillId="3" borderId="13" xfId="0" applyNumberFormat="1" applyFont="1" applyFill="1" applyBorder="1" applyAlignment="1">
      <alignment horizontal="center" vertical="center" wrapText="1"/>
    </xf>
    <xf numFmtId="166" fontId="3" fillId="0" borderId="22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center" vertical="center" wrapText="1"/>
    </xf>
    <xf numFmtId="166" fontId="3" fillId="0" borderId="71" xfId="0" applyNumberFormat="1" applyFont="1" applyBorder="1" applyAlignment="1">
      <alignment horizontal="center" vertical="center" wrapText="1"/>
    </xf>
    <xf numFmtId="166" fontId="19" fillId="3" borderId="13" xfId="0" applyNumberFormat="1" applyFont="1" applyFill="1" applyBorder="1" applyAlignment="1">
      <alignment horizontal="center" vertical="center" wrapText="1"/>
    </xf>
    <xf numFmtId="166" fontId="2" fillId="0" borderId="26" xfId="0" applyNumberFormat="1" applyFont="1" applyBorder="1" applyAlignment="1">
      <alignment horizontal="center" vertical="center" wrapText="1"/>
    </xf>
    <xf numFmtId="165" fontId="19" fillId="6" borderId="35" xfId="0" applyNumberFormat="1" applyFont="1" applyFill="1" applyBorder="1" applyAlignment="1">
      <alignment horizontal="center" vertical="center" wrapText="1"/>
    </xf>
    <xf numFmtId="166" fontId="2" fillId="8" borderId="5" xfId="0" applyNumberFormat="1" applyFont="1" applyFill="1" applyBorder="1" applyAlignment="1">
      <alignment horizontal="center" vertical="center" wrapText="1"/>
    </xf>
    <xf numFmtId="166" fontId="2" fillId="8" borderId="14" xfId="0" applyNumberFormat="1" applyFont="1" applyFill="1" applyBorder="1" applyAlignment="1">
      <alignment horizontal="center" vertical="center" wrapText="1"/>
    </xf>
    <xf numFmtId="165" fontId="6" fillId="6" borderId="10" xfId="0" applyNumberFormat="1" applyFont="1" applyFill="1" applyBorder="1" applyAlignment="1">
      <alignment horizontal="center" vertical="center" wrapText="1"/>
    </xf>
    <xf numFmtId="165" fontId="6" fillId="6" borderId="12" xfId="0" applyNumberFormat="1" applyFont="1" applyFill="1" applyBorder="1" applyAlignment="1">
      <alignment horizontal="center" vertical="center" wrapText="1"/>
    </xf>
    <xf numFmtId="165" fontId="6" fillId="6" borderId="58" xfId="0" applyNumberFormat="1" applyFont="1" applyFill="1" applyBorder="1" applyAlignment="1">
      <alignment horizontal="center" vertical="center" wrapText="1"/>
    </xf>
    <xf numFmtId="165" fontId="6" fillId="6" borderId="32" xfId="0" applyNumberFormat="1" applyFont="1" applyFill="1" applyBorder="1" applyAlignment="1">
      <alignment horizontal="center" vertical="center" wrapText="1"/>
    </xf>
    <xf numFmtId="165" fontId="5" fillId="0" borderId="19" xfId="0" applyNumberFormat="1" applyFont="1" applyBorder="1" applyAlignment="1">
      <alignment horizontal="center" vertical="center" wrapText="1"/>
    </xf>
    <xf numFmtId="165" fontId="5" fillId="2" borderId="16" xfId="0" applyNumberFormat="1" applyFont="1" applyFill="1" applyBorder="1" applyAlignment="1">
      <alignment horizontal="center" vertical="center" wrapText="1"/>
    </xf>
    <xf numFmtId="165" fontId="5" fillId="2" borderId="20" xfId="0" applyNumberFormat="1" applyFont="1" applyFill="1" applyBorder="1" applyAlignment="1">
      <alignment horizontal="center" vertical="center" wrapText="1"/>
    </xf>
    <xf numFmtId="165" fontId="5" fillId="2" borderId="10" xfId="0" applyNumberFormat="1" applyFont="1" applyFill="1" applyBorder="1" applyAlignment="1">
      <alignment horizontal="center" vertical="center" wrapText="1"/>
    </xf>
    <xf numFmtId="165" fontId="5" fillId="2" borderId="18" xfId="0" applyNumberFormat="1" applyFont="1" applyFill="1" applyBorder="1" applyAlignment="1">
      <alignment horizontal="center" vertical="center" wrapText="1"/>
    </xf>
    <xf numFmtId="165" fontId="5" fillId="2" borderId="22" xfId="0" applyNumberFormat="1" applyFont="1" applyFill="1" applyBorder="1" applyAlignment="1">
      <alignment horizontal="center" vertical="center" wrapText="1"/>
    </xf>
    <xf numFmtId="165" fontId="5" fillId="2" borderId="12" xfId="0" applyNumberFormat="1" applyFont="1" applyFill="1" applyBorder="1" applyAlignment="1">
      <alignment horizontal="center" vertical="center" wrapText="1"/>
    </xf>
    <xf numFmtId="165" fontId="6" fillId="2" borderId="64" xfId="0" applyNumberFormat="1" applyFont="1" applyFill="1" applyBorder="1" applyAlignment="1">
      <alignment horizontal="center" vertical="center" wrapText="1"/>
    </xf>
    <xf numFmtId="165" fontId="6" fillId="2" borderId="77" xfId="0" applyNumberFormat="1" applyFont="1" applyFill="1" applyBorder="1" applyAlignment="1">
      <alignment horizontal="center" vertical="center" wrapText="1"/>
    </xf>
    <xf numFmtId="165" fontId="6" fillId="2" borderId="35" xfId="0" applyNumberFormat="1" applyFont="1" applyFill="1" applyBorder="1" applyAlignment="1">
      <alignment horizontal="center" vertical="center" wrapText="1"/>
    </xf>
    <xf numFmtId="165" fontId="19" fillId="3" borderId="13" xfId="0" applyNumberFormat="1" applyFont="1" applyFill="1" applyBorder="1" applyAlignment="1">
      <alignment horizontal="center" vertical="center" wrapText="1"/>
    </xf>
    <xf numFmtId="165" fontId="19" fillId="6" borderId="5" xfId="0" applyNumberFormat="1" applyFont="1" applyFill="1" applyBorder="1" applyAlignment="1">
      <alignment horizontal="center" vertical="center" wrapText="1"/>
    </xf>
    <xf numFmtId="165" fontId="19" fillId="6" borderId="32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165" fontId="19" fillId="7" borderId="10" xfId="0" applyNumberFormat="1" applyFont="1" applyFill="1" applyBorder="1" applyAlignment="1">
      <alignment horizontal="center" vertical="center" wrapText="1"/>
    </xf>
    <xf numFmtId="165" fontId="19" fillId="7" borderId="35" xfId="0" applyNumberFormat="1" applyFont="1" applyFill="1" applyBorder="1" applyAlignment="1">
      <alignment horizontal="center" vertical="center" wrapText="1"/>
    </xf>
    <xf numFmtId="165" fontId="19" fillId="8" borderId="10" xfId="0" applyNumberFormat="1" applyFont="1" applyFill="1" applyBorder="1" applyAlignment="1">
      <alignment horizontal="center" vertical="center" wrapText="1"/>
    </xf>
    <xf numFmtId="0" fontId="2" fillId="8" borderId="58" xfId="0" applyFont="1" applyFill="1" applyBorder="1"/>
    <xf numFmtId="0" fontId="6" fillId="5" borderId="12" xfId="0" applyFont="1" applyFill="1" applyBorder="1" applyAlignment="1">
      <alignment vertical="center" wrapText="1"/>
    </xf>
    <xf numFmtId="0" fontId="19" fillId="8" borderId="12" xfId="0" applyFont="1" applyFill="1" applyBorder="1" applyAlignment="1">
      <alignment horizontal="center"/>
    </xf>
    <xf numFmtId="165" fontId="19" fillId="8" borderId="58" xfId="0" applyNumberFormat="1" applyFont="1" applyFill="1" applyBorder="1" applyAlignment="1">
      <alignment horizontal="center" vertical="center" wrapText="1"/>
    </xf>
    <xf numFmtId="165" fontId="19" fillId="8" borderId="59" xfId="0" applyNumberFormat="1" applyFont="1" applyFill="1" applyBorder="1" applyAlignment="1">
      <alignment horizontal="center" vertical="center" wrapText="1"/>
    </xf>
    <xf numFmtId="165" fontId="6" fillId="8" borderId="15" xfId="0" applyNumberFormat="1" applyFont="1" applyFill="1" applyBorder="1" applyAlignment="1">
      <alignment horizontal="center" vertical="center" wrapText="1"/>
    </xf>
    <xf numFmtId="165" fontId="6" fillId="8" borderId="19" xfId="0" applyNumberFormat="1" applyFont="1" applyFill="1" applyBorder="1" applyAlignment="1">
      <alignment horizontal="center" vertical="center" wrapText="1"/>
    </xf>
    <xf numFmtId="165" fontId="6" fillId="8" borderId="8" xfId="0" applyNumberFormat="1" applyFont="1" applyFill="1" applyBorder="1" applyAlignment="1">
      <alignment horizontal="center" vertical="center" wrapText="1"/>
    </xf>
    <xf numFmtId="165" fontId="5" fillId="0" borderId="8" xfId="0" applyNumberFormat="1" applyFont="1" applyFill="1" applyBorder="1" applyAlignment="1">
      <alignment horizontal="center" vertical="center" wrapText="1"/>
    </xf>
    <xf numFmtId="165" fontId="5" fillId="0" borderId="15" xfId="0" applyNumberFormat="1" applyFont="1" applyFill="1" applyBorder="1" applyAlignment="1">
      <alignment horizontal="center" vertical="center" wrapText="1"/>
    </xf>
    <xf numFmtId="165" fontId="19" fillId="8" borderId="70" xfId="0" applyNumberFormat="1" applyFont="1" applyFill="1" applyBorder="1" applyAlignment="1">
      <alignment horizontal="center" vertical="center" wrapText="1"/>
    </xf>
    <xf numFmtId="165" fontId="19" fillId="8" borderId="24" xfId="0" applyNumberFormat="1" applyFont="1" applyFill="1" applyBorder="1" applyAlignment="1">
      <alignment horizontal="center" vertical="center" wrapText="1"/>
    </xf>
    <xf numFmtId="165" fontId="19" fillId="8" borderId="25" xfId="0" applyNumberFormat="1" applyFont="1" applyFill="1" applyBorder="1" applyAlignment="1">
      <alignment horizontal="center" vertical="center" wrapText="1"/>
    </xf>
    <xf numFmtId="166" fontId="3" fillId="0" borderId="70" xfId="0" applyNumberFormat="1" applyFont="1" applyBorder="1" applyAlignment="1">
      <alignment horizontal="center" vertical="center" wrapText="1"/>
    </xf>
    <xf numFmtId="166" fontId="3" fillId="0" borderId="73" xfId="0" applyNumberFormat="1" applyFont="1" applyBorder="1" applyAlignment="1">
      <alignment horizontal="center" vertical="center" wrapText="1"/>
    </xf>
    <xf numFmtId="0" fontId="0" fillId="0" borderId="67" xfId="0" applyBorder="1"/>
    <xf numFmtId="0" fontId="0" fillId="0" borderId="38" xfId="0" applyBorder="1"/>
    <xf numFmtId="0" fontId="3" fillId="0" borderId="60" xfId="0" applyFont="1" applyBorder="1" applyAlignment="1">
      <alignment horizontal="center"/>
    </xf>
    <xf numFmtId="0" fontId="5" fillId="0" borderId="6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0" fillId="0" borderId="56" xfId="0" applyFill="1" applyBorder="1"/>
    <xf numFmtId="0" fontId="3" fillId="0" borderId="58" xfId="0" applyFont="1" applyFill="1" applyBorder="1"/>
    <xf numFmtId="165" fontId="5" fillId="0" borderId="78" xfId="0" applyNumberFormat="1" applyFon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165" fontId="14" fillId="0" borderId="24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6" fontId="3" fillId="3" borderId="13" xfId="0" applyNumberFormat="1" applyFont="1" applyFill="1" applyBorder="1" applyAlignment="1">
      <alignment horizontal="center" vertical="center" wrapText="1"/>
    </xf>
    <xf numFmtId="166" fontId="2" fillId="3" borderId="19" xfId="0" applyNumberFormat="1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166" fontId="3" fillId="0" borderId="0" xfId="0" applyNumberFormat="1" applyFont="1" applyBorder="1" applyAlignment="1">
      <alignment horizontal="center"/>
    </xf>
    <xf numFmtId="166" fontId="2" fillId="0" borderId="24" xfId="0" applyNumberFormat="1" applyFont="1" applyBorder="1" applyAlignment="1">
      <alignment horizontal="center"/>
    </xf>
    <xf numFmtId="166" fontId="2" fillId="0" borderId="0" xfId="0" applyNumberFormat="1" applyFont="1"/>
    <xf numFmtId="166" fontId="2" fillId="0" borderId="5" xfId="0" applyNumberFormat="1" applyFont="1" applyBorder="1" applyAlignment="1">
      <alignment horizontal="center" vertical="center" wrapText="1"/>
    </xf>
    <xf numFmtId="166" fontId="2" fillId="0" borderId="14" xfId="0" applyNumberFormat="1" applyFont="1" applyBorder="1" applyAlignment="1">
      <alignment horizontal="center" vertical="center" wrapText="1"/>
    </xf>
    <xf numFmtId="166" fontId="3" fillId="0" borderId="11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66" fontId="3" fillId="0" borderId="31" xfId="0" applyNumberFormat="1" applyFont="1" applyBorder="1" applyAlignment="1">
      <alignment horizontal="center" vertical="center" wrapText="1"/>
    </xf>
    <xf numFmtId="166" fontId="3" fillId="0" borderId="63" xfId="0" applyNumberFormat="1" applyFont="1" applyBorder="1" applyAlignment="1">
      <alignment horizontal="center" vertical="center" wrapText="1"/>
    </xf>
    <xf numFmtId="166" fontId="3" fillId="0" borderId="46" xfId="0" applyNumberFormat="1" applyFont="1" applyBorder="1" applyAlignment="1">
      <alignment horizontal="center" vertical="center" wrapText="1"/>
    </xf>
    <xf numFmtId="166" fontId="2" fillId="0" borderId="23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4" xfId="0" applyFont="1" applyBorder="1" applyAlignment="1">
      <alignment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166" fontId="2" fillId="0" borderId="5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166" fontId="3" fillId="0" borderId="35" xfId="0" applyNumberFormat="1" applyFont="1" applyBorder="1" applyAlignment="1">
      <alignment horizontal="center" vertical="center" wrapText="1"/>
    </xf>
    <xf numFmtId="166" fontId="3" fillId="0" borderId="34" xfId="0" applyNumberFormat="1" applyFont="1" applyBorder="1" applyAlignment="1">
      <alignment horizontal="center" vertical="center" wrapText="1"/>
    </xf>
    <xf numFmtId="166" fontId="3" fillId="0" borderId="57" xfId="0" applyNumberFormat="1" applyFont="1" applyBorder="1" applyAlignment="1">
      <alignment horizontal="center" vertical="center" wrapText="1"/>
    </xf>
    <xf numFmtId="166" fontId="3" fillId="0" borderId="38" xfId="0" applyNumberFormat="1" applyFont="1" applyBorder="1" applyAlignment="1">
      <alignment horizontal="center" vertical="center" wrapText="1"/>
    </xf>
    <xf numFmtId="166" fontId="3" fillId="0" borderId="79" xfId="0" applyNumberFormat="1" applyFont="1" applyBorder="1" applyAlignment="1">
      <alignment horizontal="center" vertical="center" wrapText="1"/>
    </xf>
    <xf numFmtId="166" fontId="2" fillId="0" borderId="80" xfId="0" applyNumberFormat="1" applyFont="1" applyBorder="1" applyAlignment="1">
      <alignment horizontal="center" vertical="center" wrapText="1"/>
    </xf>
    <xf numFmtId="166" fontId="2" fillId="0" borderId="56" xfId="0" applyNumberFormat="1" applyFont="1" applyBorder="1" applyAlignment="1">
      <alignment horizontal="center" vertical="center" wrapText="1"/>
    </xf>
    <xf numFmtId="166" fontId="3" fillId="0" borderId="60" xfId="0" applyNumberFormat="1" applyFont="1" applyBorder="1" applyAlignment="1">
      <alignment horizontal="center" vertical="center" wrapText="1"/>
    </xf>
    <xf numFmtId="166" fontId="3" fillId="0" borderId="53" xfId="0" applyNumberFormat="1" applyFont="1" applyBorder="1" applyAlignment="1">
      <alignment horizontal="center" vertical="center" wrapText="1"/>
    </xf>
    <xf numFmtId="166" fontId="2" fillId="0" borderId="65" xfId="0" applyNumberFormat="1" applyFont="1" applyBorder="1" applyAlignment="1">
      <alignment horizontal="center" vertical="center" wrapText="1"/>
    </xf>
    <xf numFmtId="166" fontId="3" fillId="0" borderId="81" xfId="0" applyNumberFormat="1" applyFont="1" applyBorder="1" applyAlignment="1">
      <alignment horizontal="center" vertical="center" wrapText="1"/>
    </xf>
    <xf numFmtId="166" fontId="3" fillId="0" borderId="82" xfId="0" applyNumberFormat="1" applyFont="1" applyBorder="1" applyAlignment="1">
      <alignment horizontal="center" vertical="center" wrapText="1"/>
    </xf>
    <xf numFmtId="166" fontId="3" fillId="0" borderId="83" xfId="0" applyNumberFormat="1" applyFont="1" applyBorder="1" applyAlignment="1">
      <alignment horizontal="center" vertical="center" wrapText="1"/>
    </xf>
    <xf numFmtId="166" fontId="2" fillId="0" borderId="84" xfId="0" applyNumberFormat="1" applyFont="1" applyBorder="1" applyAlignment="1">
      <alignment horizontal="center" vertical="center" wrapText="1"/>
    </xf>
    <xf numFmtId="166" fontId="2" fillId="0" borderId="72" xfId="0" applyNumberFormat="1" applyFont="1" applyBorder="1" applyAlignment="1">
      <alignment horizontal="center" vertical="center" wrapText="1"/>
    </xf>
    <xf numFmtId="166" fontId="3" fillId="0" borderId="85" xfId="0" applyNumberFormat="1" applyFont="1" applyBorder="1" applyAlignment="1">
      <alignment horizontal="center" vertical="center" wrapText="1"/>
    </xf>
    <xf numFmtId="166" fontId="3" fillId="0" borderId="74" xfId="0" applyNumberFormat="1" applyFont="1" applyBorder="1" applyAlignment="1">
      <alignment horizontal="center" vertical="center" wrapText="1"/>
    </xf>
    <xf numFmtId="166" fontId="2" fillId="0" borderId="75" xfId="0" applyNumberFormat="1" applyFont="1" applyBorder="1" applyAlignment="1">
      <alignment horizontal="center" vertical="center" wrapText="1"/>
    </xf>
    <xf numFmtId="0" fontId="0" fillId="0" borderId="72" xfId="0" applyBorder="1"/>
    <xf numFmtId="0" fontId="2" fillId="0" borderId="12" xfId="0" applyFont="1" applyBorder="1" applyAlignment="1">
      <alignment horizontal="center" vertical="center" wrapText="1"/>
    </xf>
    <xf numFmtId="166" fontId="3" fillId="0" borderId="26" xfId="0" applyNumberFormat="1" applyFont="1" applyBorder="1" applyAlignment="1">
      <alignment horizontal="center" vertical="center" wrapText="1"/>
    </xf>
    <xf numFmtId="166" fontId="19" fillId="3" borderId="26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2" fillId="8" borderId="12" xfId="0" applyFont="1" applyFill="1" applyBorder="1"/>
    <xf numFmtId="166" fontId="19" fillId="3" borderId="22" xfId="0" applyNumberFormat="1" applyFont="1" applyFill="1" applyBorder="1" applyAlignment="1">
      <alignment horizontal="center" vertical="center" wrapText="1"/>
    </xf>
    <xf numFmtId="0" fontId="0" fillId="0" borderId="87" xfId="0" applyBorder="1"/>
    <xf numFmtId="0" fontId="0" fillId="0" borderId="88" xfId="0" applyBorder="1"/>
    <xf numFmtId="0" fontId="0" fillId="0" borderId="11" xfId="0" applyBorder="1"/>
    <xf numFmtId="0" fontId="3" fillId="0" borderId="5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wrapText="1"/>
    </xf>
    <xf numFmtId="166" fontId="2" fillId="0" borderId="3" xfId="0" applyNumberFormat="1" applyFont="1" applyBorder="1"/>
    <xf numFmtId="166" fontId="20" fillId="0" borderId="0" xfId="0" applyNumberFormat="1" applyFont="1"/>
    <xf numFmtId="166" fontId="2" fillId="8" borderId="5" xfId="0" applyNumberFormat="1" applyFont="1" applyFill="1" applyBorder="1" applyAlignment="1">
      <alignment horizontal="center"/>
    </xf>
    <xf numFmtId="166" fontId="2" fillId="8" borderId="72" xfId="0" applyNumberFormat="1" applyFont="1" applyFill="1" applyBorder="1" applyAlignment="1">
      <alignment horizontal="center" vertical="center" wrapText="1"/>
    </xf>
    <xf numFmtId="166" fontId="2" fillId="8" borderId="56" xfId="0" applyNumberFormat="1" applyFont="1" applyFill="1" applyBorder="1" applyAlignment="1">
      <alignment horizontal="center" vertical="center" wrapText="1"/>
    </xf>
    <xf numFmtId="166" fontId="2" fillId="8" borderId="72" xfId="0" applyNumberFormat="1" applyFont="1" applyFill="1" applyBorder="1" applyAlignment="1">
      <alignment horizontal="center"/>
    </xf>
    <xf numFmtId="166" fontId="2" fillId="8" borderId="56" xfId="0" applyNumberFormat="1" applyFont="1" applyFill="1" applyBorder="1" applyAlignment="1">
      <alignment horizontal="center"/>
    </xf>
    <xf numFmtId="166" fontId="2" fillId="8" borderId="8" xfId="0" applyNumberFormat="1" applyFont="1" applyFill="1" applyBorder="1" applyAlignment="1">
      <alignment horizontal="center" vertical="center" wrapText="1"/>
    </xf>
    <xf numFmtId="166" fontId="2" fillId="8" borderId="86" xfId="0" applyNumberFormat="1" applyFont="1" applyFill="1" applyBorder="1" applyAlignment="1">
      <alignment horizontal="center" vertical="center" wrapText="1"/>
    </xf>
    <xf numFmtId="166" fontId="2" fillId="8" borderId="62" xfId="0" applyNumberFormat="1" applyFont="1" applyFill="1" applyBorder="1" applyAlignment="1">
      <alignment horizontal="center" vertical="center" wrapText="1"/>
    </xf>
    <xf numFmtId="166" fontId="2" fillId="8" borderId="15" xfId="0" applyNumberFormat="1" applyFont="1" applyFill="1" applyBorder="1" applyAlignment="1">
      <alignment horizontal="center" vertical="center" wrapText="1"/>
    </xf>
    <xf numFmtId="166" fontId="2" fillId="3" borderId="62" xfId="0" applyNumberFormat="1" applyFont="1" applyFill="1" applyBorder="1" applyAlignment="1">
      <alignment horizontal="center" vertical="center" wrapText="1"/>
    </xf>
    <xf numFmtId="166" fontId="3" fillId="3" borderId="60" xfId="0" applyNumberFormat="1" applyFont="1" applyFill="1" applyBorder="1" applyAlignment="1">
      <alignment horizontal="center" vertical="center" wrapText="1"/>
    </xf>
    <xf numFmtId="166" fontId="3" fillId="3" borderId="38" xfId="0" applyNumberFormat="1" applyFont="1" applyFill="1" applyBorder="1" applyAlignment="1">
      <alignment horizontal="center" vertical="center" wrapText="1"/>
    </xf>
    <xf numFmtId="166" fontId="3" fillId="3" borderId="57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Border="1"/>
    <xf numFmtId="166" fontId="3" fillId="0" borderId="0" xfId="0" applyNumberFormat="1" applyFont="1" applyFill="1" applyBorder="1" applyAlignment="1">
      <alignment horizontal="center" vertical="center" wrapText="1"/>
    </xf>
    <xf numFmtId="166" fontId="3" fillId="3" borderId="79" xfId="0" applyNumberFormat="1" applyFont="1" applyFill="1" applyBorder="1" applyAlignment="1">
      <alignment horizontal="center" vertical="center" wrapText="1"/>
    </xf>
    <xf numFmtId="166" fontId="2" fillId="3" borderId="80" xfId="0" applyNumberFormat="1" applyFont="1" applyFill="1" applyBorder="1" applyAlignment="1">
      <alignment horizontal="center" vertical="center" wrapText="1"/>
    </xf>
    <xf numFmtId="166" fontId="2" fillId="6" borderId="24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9" fontId="0" fillId="0" borderId="8" xfId="2" applyFont="1" applyBorder="1" applyAlignment="1">
      <alignment horizontal="center"/>
    </xf>
    <xf numFmtId="9" fontId="0" fillId="0" borderId="15" xfId="2" applyFont="1" applyBorder="1" applyAlignment="1">
      <alignment horizontal="center"/>
    </xf>
    <xf numFmtId="9" fontId="0" fillId="0" borderId="19" xfId="2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/>
    </xf>
    <xf numFmtId="0" fontId="5" fillId="0" borderId="52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58" xfId="0" applyFont="1" applyBorder="1" applyAlignment="1">
      <alignment horizontal="left" vertical="center"/>
    </xf>
    <xf numFmtId="0" fontId="5" fillId="0" borderId="58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32" xfId="0" applyFont="1" applyBorder="1" applyAlignment="1">
      <alignment horizontal="left" vertical="center"/>
    </xf>
    <xf numFmtId="0" fontId="5" fillId="0" borderId="32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5" fillId="0" borderId="35" xfId="0" applyFont="1" applyBorder="1" applyAlignment="1">
      <alignment horizontal="left" vertical="center"/>
    </xf>
    <xf numFmtId="0" fontId="5" fillId="0" borderId="35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6" fillId="0" borderId="6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10" fillId="0" borderId="4" xfId="0" applyFont="1" applyBorder="1"/>
    <xf numFmtId="0" fontId="6" fillId="0" borderId="31" xfId="0" applyFont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10" fillId="0" borderId="23" xfId="0" applyFont="1" applyBorder="1"/>
    <xf numFmtId="0" fontId="10" fillId="0" borderId="3" xfId="0" applyFont="1" applyBorder="1"/>
    <xf numFmtId="0" fontId="10" fillId="0" borderId="0" xfId="0" applyFont="1" applyBorder="1"/>
    <xf numFmtId="0" fontId="10" fillId="0" borderId="2" xfId="0" applyFont="1" applyBorder="1"/>
    <xf numFmtId="0" fontId="6" fillId="0" borderId="9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165" fontId="19" fillId="8" borderId="71" xfId="0" applyNumberFormat="1" applyFont="1" applyFill="1" applyBorder="1" applyAlignment="1">
      <alignment horizontal="center" vertical="center" wrapText="1"/>
    </xf>
    <xf numFmtId="165" fontId="19" fillId="8" borderId="61" xfId="0" applyNumberFormat="1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8" borderId="0" xfId="0" applyFont="1" applyFill="1" applyBorder="1" applyAlignment="1">
      <alignment vertical="center"/>
    </xf>
    <xf numFmtId="0" fontId="5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14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167" fontId="3" fillId="0" borderId="5" xfId="2" applyNumberFormat="1" applyFont="1" applyBorder="1"/>
    <xf numFmtId="167" fontId="3" fillId="0" borderId="14" xfId="2" applyNumberFormat="1" applyFont="1" applyBorder="1"/>
    <xf numFmtId="167" fontId="3" fillId="0" borderId="13" xfId="2" applyNumberFormat="1" applyFont="1" applyBorder="1"/>
    <xf numFmtId="168" fontId="0" fillId="0" borderId="8" xfId="1" applyNumberFormat="1" applyFont="1" applyBorder="1" applyAlignment="1">
      <alignment horizontal="center"/>
    </xf>
    <xf numFmtId="168" fontId="0" fillId="0" borderId="15" xfId="1" applyNumberFormat="1" applyFont="1" applyBorder="1" applyAlignment="1">
      <alignment horizontal="center"/>
    </xf>
    <xf numFmtId="168" fontId="0" fillId="0" borderId="19" xfId="1" applyNumberFormat="1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0" fillId="0" borderId="27" xfId="1" applyNumberFormat="1" applyFont="1" applyBorder="1" applyAlignment="1">
      <alignment horizontal="center"/>
    </xf>
    <xf numFmtId="168" fontId="0" fillId="0" borderId="28" xfId="1" applyNumberFormat="1" applyFont="1" applyBorder="1" applyAlignment="1">
      <alignment horizontal="center"/>
    </xf>
    <xf numFmtId="0" fontId="6" fillId="8" borderId="5" xfId="0" applyFont="1" applyFill="1" applyBorder="1" applyAlignment="1">
      <alignment horizontal="left" vertical="center"/>
    </xf>
    <xf numFmtId="0" fontId="3" fillId="0" borderId="91" xfId="0" applyFont="1" applyBorder="1" applyAlignment="1">
      <alignment horizontal="center"/>
    </xf>
    <xf numFmtId="0" fontId="0" fillId="0" borderId="2" xfId="0" applyBorder="1"/>
    <xf numFmtId="0" fontId="2" fillId="8" borderId="6" xfId="0" applyFont="1" applyFill="1" applyBorder="1" applyAlignment="1">
      <alignment horizontal="center"/>
    </xf>
    <xf numFmtId="0" fontId="2" fillId="6" borderId="38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14" fillId="0" borderId="38" xfId="0" applyFont="1" applyBorder="1"/>
    <xf numFmtId="0" fontId="14" fillId="0" borderId="57" xfId="0" applyFont="1" applyBorder="1"/>
    <xf numFmtId="0" fontId="3" fillId="0" borderId="59" xfId="0" applyFont="1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14" fillId="0" borderId="3" xfId="0" applyFont="1" applyBorder="1" applyAlignment="1">
      <alignment vertical="center" wrapText="1"/>
    </xf>
    <xf numFmtId="0" fontId="14" fillId="0" borderId="6" xfId="0" applyFont="1" applyFill="1" applyBorder="1" applyAlignment="1">
      <alignment horizontal="center"/>
    </xf>
    <xf numFmtId="0" fontId="14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3" fillId="0" borderId="62" xfId="0" applyFont="1" applyBorder="1" applyAlignment="1">
      <alignment horizontal="center"/>
    </xf>
    <xf numFmtId="0" fontId="14" fillId="0" borderId="3" xfId="0" applyFont="1" applyBorder="1" applyAlignment="1">
      <alignment vertical="center"/>
    </xf>
    <xf numFmtId="0" fontId="14" fillId="0" borderId="34" xfId="0" applyFont="1" applyBorder="1" applyAlignment="1">
      <alignment vertical="center"/>
    </xf>
    <xf numFmtId="166" fontId="3" fillId="0" borderId="32" xfId="0" applyNumberFormat="1" applyFont="1" applyFill="1" applyBorder="1" applyAlignment="1">
      <alignment horizontal="center" vertical="center" wrapText="1"/>
    </xf>
    <xf numFmtId="166" fontId="3" fillId="0" borderId="61" xfId="0" applyNumberFormat="1" applyFont="1" applyFill="1" applyBorder="1" applyAlignment="1">
      <alignment horizontal="center" vertical="center" wrapText="1"/>
    </xf>
    <xf numFmtId="166" fontId="3" fillId="0" borderId="71" xfId="0" applyNumberFormat="1" applyFont="1" applyFill="1" applyBorder="1" applyAlignment="1">
      <alignment horizontal="center" vertical="center" wrapText="1"/>
    </xf>
    <xf numFmtId="0" fontId="14" fillId="0" borderId="60" xfId="0" applyFont="1" applyBorder="1" applyAlignment="1">
      <alignment vertical="center" wrapText="1"/>
    </xf>
    <xf numFmtId="0" fontId="3" fillId="0" borderId="10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14" fillId="0" borderId="12" xfId="0" applyFont="1" applyFill="1" applyBorder="1" applyAlignment="1">
      <alignment horizontal="left"/>
    </xf>
    <xf numFmtId="0" fontId="3" fillId="0" borderId="5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8" xfId="0" applyFont="1" applyBorder="1" applyAlignment="1">
      <alignment horizontal="left" vertical="center" wrapText="1"/>
    </xf>
    <xf numFmtId="0" fontId="3" fillId="0" borderId="60" xfId="0" applyFont="1" applyBorder="1" applyAlignment="1">
      <alignment horizontal="left" vertical="center" wrapText="1"/>
    </xf>
    <xf numFmtId="0" fontId="3" fillId="0" borderId="58" xfId="0" applyFont="1" applyBorder="1" applyAlignment="1">
      <alignment horizontal="left" vertical="center" wrapText="1"/>
    </xf>
    <xf numFmtId="0" fontId="14" fillId="0" borderId="57" xfId="0" applyFont="1" applyBorder="1" applyAlignment="1">
      <alignment vertical="center" wrapText="1"/>
    </xf>
    <xf numFmtId="0" fontId="3" fillId="0" borderId="57" xfId="0" applyFont="1" applyBorder="1" applyAlignment="1">
      <alignment horizontal="left" vertical="center" wrapText="1"/>
    </xf>
    <xf numFmtId="166" fontId="3" fillId="0" borderId="58" xfId="0" applyNumberFormat="1" applyFont="1" applyFill="1" applyBorder="1" applyAlignment="1">
      <alignment horizontal="center" vertical="center" wrapText="1"/>
    </xf>
    <xf numFmtId="166" fontId="3" fillId="0" borderId="59" xfId="0" applyNumberFormat="1" applyFont="1" applyFill="1" applyBorder="1" applyAlignment="1">
      <alignment horizontal="center" vertical="center" wrapText="1"/>
    </xf>
    <xf numFmtId="166" fontId="3" fillId="0" borderId="70" xfId="0" applyNumberFormat="1" applyFont="1" applyFill="1" applyBorder="1" applyAlignment="1">
      <alignment horizontal="center" vertical="center" wrapText="1"/>
    </xf>
    <xf numFmtId="0" fontId="14" fillId="0" borderId="67" xfId="0" applyFont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166" fontId="3" fillId="0" borderId="6" xfId="0" applyNumberFormat="1" applyFont="1" applyBorder="1" applyAlignment="1">
      <alignment horizontal="center" vertical="center" wrapText="1"/>
    </xf>
    <xf numFmtId="166" fontId="3" fillId="0" borderId="27" xfId="0" applyNumberFormat="1" applyFont="1" applyBorder="1" applyAlignment="1">
      <alignment horizontal="center" vertical="center" wrapText="1"/>
    </xf>
    <xf numFmtId="166" fontId="3" fillId="0" borderId="28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166" fontId="3" fillId="0" borderId="72" xfId="0" applyNumberFormat="1" applyFont="1" applyBorder="1" applyAlignment="1">
      <alignment horizontal="center" vertical="center" wrapText="1"/>
    </xf>
    <xf numFmtId="166" fontId="3" fillId="0" borderId="0" xfId="0" applyNumberFormat="1" applyFont="1" applyBorder="1" applyAlignment="1">
      <alignment horizontal="center" vertical="center" wrapText="1"/>
    </xf>
    <xf numFmtId="0" fontId="14" fillId="0" borderId="62" xfId="0" applyFont="1" applyBorder="1" applyAlignment="1">
      <alignment horizontal="left" vertical="center" wrapText="1"/>
    </xf>
    <xf numFmtId="166" fontId="3" fillId="0" borderId="8" xfId="0" applyNumberFormat="1" applyFont="1" applyBorder="1" applyAlignment="1">
      <alignment horizontal="center" vertical="center" wrapText="1"/>
    </xf>
    <xf numFmtId="166" fontId="3" fillId="0" borderId="8" xfId="0" applyNumberFormat="1" applyFont="1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 wrapText="1"/>
    </xf>
    <xf numFmtId="166" fontId="3" fillId="0" borderId="19" xfId="0" applyNumberFormat="1" applyFont="1" applyFill="1" applyBorder="1" applyAlignment="1">
      <alignment horizontal="center" vertical="center" wrapText="1"/>
    </xf>
    <xf numFmtId="166" fontId="3" fillId="0" borderId="56" xfId="0" applyNumberFormat="1" applyFont="1" applyFill="1" applyBorder="1" applyAlignment="1">
      <alignment horizontal="center" vertical="center" wrapText="1"/>
    </xf>
    <xf numFmtId="0" fontId="22" fillId="0" borderId="56" xfId="0" applyFont="1" applyBorder="1" applyAlignment="1">
      <alignment horizontal="left" vertical="center"/>
    </xf>
    <xf numFmtId="166" fontId="3" fillId="0" borderId="57" xfId="0" applyNumberFormat="1" applyFont="1" applyFill="1" applyBorder="1" applyAlignment="1">
      <alignment horizontal="center" vertical="center" wrapText="1"/>
    </xf>
    <xf numFmtId="0" fontId="22" fillId="0" borderId="57" xfId="0" applyFont="1" applyBorder="1" applyAlignment="1">
      <alignment horizontal="left" vertical="center"/>
    </xf>
    <xf numFmtId="0" fontId="22" fillId="0" borderId="56" xfId="0" applyFont="1" applyBorder="1" applyAlignment="1">
      <alignment vertical="center" wrapText="1"/>
    </xf>
    <xf numFmtId="0" fontId="3" fillId="0" borderId="5" xfId="0" applyFont="1" applyBorder="1" applyAlignment="1">
      <alignment horizontal="center" wrapText="1"/>
    </xf>
    <xf numFmtId="0" fontId="14" fillId="0" borderId="62" xfId="0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166" fontId="3" fillId="0" borderId="33" xfId="0" applyNumberFormat="1" applyFont="1" applyBorder="1" applyAlignment="1">
      <alignment horizontal="center"/>
    </xf>
    <xf numFmtId="166" fontId="3" fillId="0" borderId="91" xfId="0" applyNumberFormat="1" applyFont="1" applyBorder="1" applyAlignment="1">
      <alignment horizontal="center"/>
    </xf>
    <xf numFmtId="166" fontId="3" fillId="0" borderId="5" xfId="0" applyNumberFormat="1" applyFont="1" applyFill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19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66" fontId="3" fillId="0" borderId="35" xfId="0" applyNumberFormat="1" applyFont="1" applyBorder="1" applyAlignment="1">
      <alignment horizontal="center"/>
    </xf>
    <xf numFmtId="166" fontId="3" fillId="0" borderId="34" xfId="0" applyNumberFormat="1" applyFont="1" applyFill="1" applyBorder="1" applyAlignment="1">
      <alignment horizontal="center"/>
    </xf>
    <xf numFmtId="166" fontId="3" fillId="0" borderId="36" xfId="0" applyNumberFormat="1" applyFont="1" applyFill="1" applyBorder="1" applyAlignment="1">
      <alignment horizontal="center"/>
    </xf>
    <xf numFmtId="166" fontId="3" fillId="0" borderId="34" xfId="0" applyNumberFormat="1" applyFont="1" applyBorder="1" applyAlignment="1">
      <alignment horizontal="center"/>
    </xf>
    <xf numFmtId="166" fontId="3" fillId="0" borderId="38" xfId="0" applyNumberFormat="1" applyFont="1" applyBorder="1" applyAlignment="1">
      <alignment horizontal="center"/>
    </xf>
    <xf numFmtId="166" fontId="3" fillId="0" borderId="58" xfId="0" applyNumberFormat="1" applyFont="1" applyFill="1" applyBorder="1" applyAlignment="1">
      <alignment horizontal="center"/>
    </xf>
    <xf numFmtId="166" fontId="3" fillId="0" borderId="63" xfId="0" applyNumberFormat="1" applyFont="1" applyFill="1" applyBorder="1" applyAlignment="1">
      <alignment horizontal="center"/>
    </xf>
    <xf numFmtId="166" fontId="3" fillId="0" borderId="70" xfId="0" applyNumberFormat="1" applyFont="1" applyFill="1" applyBorder="1" applyAlignment="1">
      <alignment horizontal="center"/>
    </xf>
    <xf numFmtId="166" fontId="3" fillId="0" borderId="58" xfId="0" applyNumberFormat="1" applyFont="1" applyBorder="1" applyAlignment="1">
      <alignment horizontal="center"/>
    </xf>
    <xf numFmtId="166" fontId="3" fillId="0" borderId="63" xfId="0" applyNumberFormat="1" applyFont="1" applyBorder="1" applyAlignment="1">
      <alignment horizontal="center"/>
    </xf>
    <xf numFmtId="166" fontId="5" fillId="0" borderId="6" xfId="0" applyNumberFormat="1" applyFont="1" applyFill="1" applyBorder="1" applyAlignment="1">
      <alignment horizontal="center" vertical="center" wrapText="1"/>
    </xf>
    <xf numFmtId="166" fontId="5" fillId="0" borderId="27" xfId="0" applyNumberFormat="1" applyFont="1" applyFill="1" applyBorder="1" applyAlignment="1">
      <alignment horizontal="center" vertical="center" wrapText="1"/>
    </xf>
    <xf numFmtId="166" fontId="5" fillId="0" borderId="28" xfId="0" applyNumberFormat="1" applyFont="1" applyFill="1" applyBorder="1" applyAlignment="1">
      <alignment horizontal="center" vertical="center" wrapText="1"/>
    </xf>
    <xf numFmtId="166" fontId="5" fillId="0" borderId="8" xfId="0" applyNumberFormat="1" applyFont="1" applyBorder="1" applyAlignment="1">
      <alignment horizontal="center" vertical="center" wrapText="1"/>
    </xf>
    <xf numFmtId="166" fontId="5" fillId="0" borderId="15" xfId="0" applyNumberFormat="1" applyFont="1" applyBorder="1" applyAlignment="1">
      <alignment horizontal="center" vertical="center" wrapText="1"/>
    </xf>
    <xf numFmtId="166" fontId="5" fillId="0" borderId="19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166" fontId="5" fillId="0" borderId="14" xfId="0" applyNumberFormat="1" applyFont="1" applyBorder="1" applyAlignment="1">
      <alignment horizontal="center" vertical="center" wrapText="1"/>
    </xf>
    <xf numFmtId="166" fontId="5" fillId="0" borderId="13" xfId="0" applyNumberFormat="1" applyFont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 wrapText="1"/>
    </xf>
    <xf numFmtId="166" fontId="5" fillId="0" borderId="27" xfId="0" applyNumberFormat="1" applyFont="1" applyBorder="1" applyAlignment="1">
      <alignment horizontal="center" vertical="center" wrapText="1"/>
    </xf>
    <xf numFmtId="166" fontId="5" fillId="0" borderId="28" xfId="0" applyNumberFormat="1" applyFont="1" applyBorder="1" applyAlignment="1">
      <alignment horizontal="center" vertical="center" wrapText="1"/>
    </xf>
    <xf numFmtId="166" fontId="5" fillId="0" borderId="35" xfId="0" applyNumberFormat="1" applyFont="1" applyBorder="1" applyAlignment="1">
      <alignment horizontal="center" vertical="center" wrapText="1"/>
    </xf>
    <xf numFmtId="166" fontId="5" fillId="0" borderId="64" xfId="0" applyNumberFormat="1" applyFont="1" applyBorder="1" applyAlignment="1">
      <alignment horizontal="center" vertical="center" wrapText="1"/>
    </xf>
    <xf numFmtId="166" fontId="5" fillId="0" borderId="77" xfId="0" applyNumberFormat="1" applyFont="1" applyBorder="1" applyAlignment="1">
      <alignment horizontal="center" vertical="center" wrapText="1"/>
    </xf>
    <xf numFmtId="166" fontId="5" fillId="0" borderId="8" xfId="0" applyNumberFormat="1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166" fontId="5" fillId="0" borderId="19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2" fillId="0" borderId="23" xfId="0" applyNumberFormat="1" applyFont="1" applyBorder="1" applyAlignment="1">
      <alignment horizontal="center"/>
    </xf>
    <xf numFmtId="166" fontId="2" fillId="0" borderId="30" xfId="0" applyNumberFormat="1" applyFont="1" applyBorder="1" applyAlignment="1">
      <alignment horizontal="center"/>
    </xf>
    <xf numFmtId="0" fontId="23" fillId="0" borderId="0" xfId="0" applyFont="1"/>
    <xf numFmtId="166" fontId="13" fillId="0" borderId="19" xfId="0" applyNumberFormat="1" applyFont="1" applyBorder="1" applyAlignment="1">
      <alignment horizontal="center" vertical="center"/>
    </xf>
    <xf numFmtId="166" fontId="13" fillId="0" borderId="8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20" fillId="0" borderId="13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1" fontId="20" fillId="0" borderId="30" xfId="0" applyNumberFormat="1" applyFont="1" applyBorder="1" applyAlignment="1">
      <alignment horizontal="center"/>
    </xf>
    <xf numFmtId="1" fontId="20" fillId="0" borderId="24" xfId="0" applyNumberFormat="1" applyFont="1" applyBorder="1" applyAlignment="1">
      <alignment horizontal="center"/>
    </xf>
    <xf numFmtId="1" fontId="20" fillId="0" borderId="23" xfId="0" applyNumberFormat="1" applyFont="1" applyBorder="1" applyAlignment="1">
      <alignment horizontal="center"/>
    </xf>
    <xf numFmtId="0" fontId="3" fillId="0" borderId="56" xfId="0" applyFont="1" applyFill="1" applyBorder="1"/>
    <xf numFmtId="166" fontId="3" fillId="0" borderId="56" xfId="0" applyNumberFormat="1" applyFont="1" applyBorder="1" applyAlignment="1">
      <alignment horizontal="center" vertical="center" wrapText="1"/>
    </xf>
    <xf numFmtId="0" fontId="2" fillId="0" borderId="72" xfId="0" applyFont="1" applyBorder="1" applyAlignment="1">
      <alignment horizontal="center"/>
    </xf>
    <xf numFmtId="166" fontId="3" fillId="0" borderId="92" xfId="0" applyNumberFormat="1" applyFont="1" applyBorder="1" applyAlignment="1">
      <alignment horizontal="center"/>
    </xf>
    <xf numFmtId="0" fontId="3" fillId="0" borderId="82" xfId="0" applyFont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166" fontId="5" fillId="0" borderId="5" xfId="0" applyNumberFormat="1" applyFont="1" applyFill="1" applyBorder="1" applyAlignment="1">
      <alignment horizontal="center" vertical="center"/>
    </xf>
    <xf numFmtId="166" fontId="5" fillId="0" borderId="72" xfId="0" applyNumberFormat="1" applyFont="1" applyFill="1" applyBorder="1" applyAlignment="1">
      <alignment horizontal="center" vertical="center"/>
    </xf>
    <xf numFmtId="166" fontId="5" fillId="0" borderId="56" xfId="0" applyNumberFormat="1" applyFont="1" applyFill="1" applyBorder="1" applyAlignment="1">
      <alignment horizontal="center" vertical="center"/>
    </xf>
    <xf numFmtId="166" fontId="5" fillId="0" borderId="14" xfId="0" applyNumberFormat="1" applyFont="1" applyFill="1" applyBorder="1" applyAlignment="1">
      <alignment horizontal="center" vertical="center"/>
    </xf>
    <xf numFmtId="166" fontId="3" fillId="0" borderId="93" xfId="0" applyNumberFormat="1" applyFont="1" applyBorder="1" applyAlignment="1">
      <alignment horizontal="center"/>
    </xf>
    <xf numFmtId="0" fontId="3" fillId="0" borderId="60" xfId="0" applyFont="1" applyBorder="1"/>
    <xf numFmtId="166" fontId="3" fillId="0" borderId="67" xfId="0" applyNumberFormat="1" applyFont="1" applyBorder="1" applyAlignment="1">
      <alignment horizontal="center"/>
    </xf>
    <xf numFmtId="166" fontId="3" fillId="0" borderId="72" xfId="0" applyNumberFormat="1" applyFont="1" applyFill="1" applyBorder="1" applyAlignment="1">
      <alignment horizontal="center"/>
    </xf>
    <xf numFmtId="166" fontId="3" fillId="0" borderId="56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5" fillId="0" borderId="56" xfId="0" applyFont="1" applyBorder="1" applyAlignment="1">
      <alignment horizontal="center" vertical="center" wrapText="1"/>
    </xf>
    <xf numFmtId="166" fontId="5" fillId="0" borderId="86" xfId="0" applyNumberFormat="1" applyFont="1" applyBorder="1" applyAlignment="1">
      <alignment horizontal="center" vertical="center" wrapText="1"/>
    </xf>
    <xf numFmtId="166" fontId="5" fillId="0" borderId="62" xfId="0" applyNumberFormat="1" applyFont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left" vertical="center"/>
    </xf>
    <xf numFmtId="0" fontId="3" fillId="0" borderId="57" xfId="0" applyFont="1" applyFill="1" applyBorder="1" applyAlignment="1">
      <alignment horizontal="left"/>
    </xf>
    <xf numFmtId="0" fontId="3" fillId="0" borderId="56" xfId="0" applyFont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/>
    </xf>
    <xf numFmtId="0" fontId="5" fillId="0" borderId="62" xfId="0" applyFont="1" applyBorder="1" applyAlignment="1">
      <alignment horizontal="left" vertical="center"/>
    </xf>
    <xf numFmtId="166" fontId="5" fillId="0" borderId="86" xfId="0" applyNumberFormat="1" applyFont="1" applyBorder="1" applyAlignment="1">
      <alignment horizontal="center" vertical="center"/>
    </xf>
    <xf numFmtId="166" fontId="5" fillId="0" borderId="62" xfId="0" applyNumberFormat="1" applyFont="1" applyBorder="1" applyAlignment="1">
      <alignment horizontal="center" vertical="center"/>
    </xf>
    <xf numFmtId="166" fontId="3" fillId="0" borderId="37" xfId="0" applyNumberFormat="1" applyFont="1" applyBorder="1" applyAlignment="1">
      <alignment horizontal="center"/>
    </xf>
    <xf numFmtId="166" fontId="3" fillId="0" borderId="16" xfId="0" applyNumberFormat="1" applyFont="1" applyBorder="1" applyAlignment="1">
      <alignment horizontal="center"/>
    </xf>
    <xf numFmtId="0" fontId="5" fillId="0" borderId="56" xfId="0" applyFont="1" applyBorder="1" applyAlignment="1">
      <alignment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0" borderId="95" xfId="0" applyFont="1" applyFill="1" applyBorder="1"/>
    <xf numFmtId="0" fontId="3" fillId="0" borderId="95" xfId="0" applyFont="1" applyFill="1" applyBorder="1" applyAlignment="1">
      <alignment horizontal="center"/>
    </xf>
    <xf numFmtId="0" fontId="3" fillId="0" borderId="96" xfId="0" applyFont="1" applyFill="1" applyBorder="1" applyAlignment="1">
      <alignment horizontal="center"/>
    </xf>
    <xf numFmtId="0" fontId="3" fillId="0" borderId="94" xfId="0" applyFont="1" applyFill="1" applyBorder="1"/>
    <xf numFmtId="0" fontId="0" fillId="0" borderId="94" xfId="0" applyBorder="1"/>
    <xf numFmtId="166" fontId="14" fillId="0" borderId="97" xfId="0" applyNumberFormat="1" applyFont="1" applyFill="1" applyBorder="1" applyAlignment="1">
      <alignment horizontal="center"/>
    </xf>
    <xf numFmtId="166" fontId="14" fillId="0" borderId="95" xfId="0" applyNumberFormat="1" applyFont="1" applyFill="1" applyBorder="1" applyAlignment="1">
      <alignment horizontal="center"/>
    </xf>
    <xf numFmtId="166" fontId="3" fillId="0" borderId="95" xfId="0" applyNumberFormat="1" applyFont="1" applyFill="1" applyBorder="1" applyAlignment="1">
      <alignment horizontal="center"/>
    </xf>
    <xf numFmtId="166" fontId="3" fillId="0" borderId="94" xfId="0" applyNumberFormat="1" applyFont="1" applyFill="1" applyBorder="1" applyAlignment="1">
      <alignment horizontal="center"/>
    </xf>
    <xf numFmtId="0" fontId="3" fillId="0" borderId="67" xfId="0" applyFont="1" applyBorder="1" applyAlignment="1">
      <alignment horizontal="left" vertical="center" wrapText="1"/>
    </xf>
    <xf numFmtId="166" fontId="3" fillId="0" borderId="93" xfId="0" applyNumberFormat="1" applyFont="1" applyBorder="1" applyAlignment="1">
      <alignment horizontal="center" vertical="center" wrapText="1"/>
    </xf>
    <xf numFmtId="166" fontId="3" fillId="0" borderId="67" xfId="0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left" vertical="center" wrapText="1"/>
    </xf>
    <xf numFmtId="166" fontId="3" fillId="0" borderId="86" xfId="0" applyNumberFormat="1" applyFont="1" applyBorder="1" applyAlignment="1">
      <alignment horizontal="center" vertical="center" wrapText="1"/>
    </xf>
    <xf numFmtId="166" fontId="3" fillId="0" borderId="62" xfId="0" applyNumberFormat="1" applyFont="1" applyBorder="1" applyAlignment="1">
      <alignment horizontal="center" vertical="center" wrapText="1"/>
    </xf>
    <xf numFmtId="166" fontId="3" fillId="0" borderId="15" xfId="0" applyNumberFormat="1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166" fontId="2" fillId="3" borderId="13" xfId="0" applyNumberFormat="1" applyFont="1" applyFill="1" applyBorder="1" applyAlignment="1">
      <alignment horizontal="center"/>
    </xf>
    <xf numFmtId="166" fontId="2" fillId="3" borderId="28" xfId="0" applyNumberFormat="1" applyFont="1" applyFill="1" applyBorder="1" applyAlignment="1">
      <alignment horizontal="center"/>
    </xf>
    <xf numFmtId="166" fontId="2" fillId="0" borderId="25" xfId="0" applyNumberFormat="1" applyFont="1" applyBorder="1" applyAlignment="1">
      <alignment horizontal="center"/>
    </xf>
    <xf numFmtId="166" fontId="2" fillId="0" borderId="26" xfId="0" applyNumberFormat="1" applyFont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3" fillId="0" borderId="70" xfId="0" applyFont="1" applyBorder="1" applyAlignment="1">
      <alignment horizontal="center"/>
    </xf>
    <xf numFmtId="0" fontId="3" fillId="0" borderId="99" xfId="0" applyFont="1" applyBorder="1" applyAlignment="1">
      <alignment horizontal="center"/>
    </xf>
    <xf numFmtId="0" fontId="3" fillId="0" borderId="100" xfId="0" applyFont="1" applyBorder="1" applyAlignment="1">
      <alignment horizontal="center"/>
    </xf>
    <xf numFmtId="0" fontId="2" fillId="5" borderId="50" xfId="0" applyFont="1" applyFill="1" applyBorder="1"/>
    <xf numFmtId="0" fontId="3" fillId="0" borderId="50" xfId="0" applyFont="1" applyBorder="1" applyAlignment="1">
      <alignment horizontal="center"/>
    </xf>
    <xf numFmtId="0" fontId="9" fillId="0" borderId="0" xfId="0" applyFont="1"/>
    <xf numFmtId="0" fontId="2" fillId="0" borderId="4" xfId="0" applyFont="1" applyBorder="1"/>
    <xf numFmtId="0" fontId="2" fillId="0" borderId="3" xfId="0" applyFont="1" applyBorder="1"/>
    <xf numFmtId="0" fontId="2" fillId="0" borderId="0" xfId="0" applyFont="1" applyBorder="1"/>
    <xf numFmtId="0" fontId="2" fillId="0" borderId="2" xfId="0" applyFont="1" applyBorder="1"/>
    <xf numFmtId="0" fontId="21" fillId="0" borderId="66" xfId="0" applyFont="1" applyBorder="1" applyAlignment="1">
      <alignment horizontal="left" vertical="center"/>
    </xf>
    <xf numFmtId="0" fontId="21" fillId="0" borderId="38" xfId="0" applyFont="1" applyBorder="1" applyAlignment="1">
      <alignment horizontal="left" vertical="center"/>
    </xf>
    <xf numFmtId="0" fontId="21" fillId="0" borderId="57" xfId="0" applyFont="1" applyBorder="1" applyAlignment="1">
      <alignment horizontal="left" vertical="center"/>
    </xf>
    <xf numFmtId="0" fontId="21" fillId="0" borderId="79" xfId="0" applyFont="1" applyBorder="1" applyAlignment="1">
      <alignment horizontal="left" vertical="center"/>
    </xf>
    <xf numFmtId="0" fontId="2" fillId="0" borderId="80" xfId="0" applyFont="1" applyBorder="1" applyAlignment="1">
      <alignment vertical="center" wrapText="1"/>
    </xf>
    <xf numFmtId="0" fontId="2" fillId="0" borderId="56" xfId="0" applyFont="1" applyBorder="1" applyAlignment="1">
      <alignment vertical="center" wrapText="1"/>
    </xf>
    <xf numFmtId="0" fontId="21" fillId="0" borderId="56" xfId="0" applyFont="1" applyBorder="1" applyAlignment="1">
      <alignment vertical="center" wrapText="1"/>
    </xf>
    <xf numFmtId="0" fontId="21" fillId="0" borderId="38" xfId="0" applyFont="1" applyBorder="1" applyAlignment="1">
      <alignment vertical="center"/>
    </xf>
    <xf numFmtId="0" fontId="21" fillId="0" borderId="79" xfId="0" applyFont="1" applyBorder="1" applyAlignment="1">
      <alignment vertical="center"/>
    </xf>
    <xf numFmtId="0" fontId="14" fillId="0" borderId="39" xfId="0" applyFont="1" applyBorder="1" applyAlignment="1">
      <alignment vertical="center" wrapText="1"/>
    </xf>
    <xf numFmtId="0" fontId="2" fillId="0" borderId="65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3" fillId="0" borderId="54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01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1" xfId="0" applyFont="1" applyBorder="1" applyAlignment="1">
      <alignment vertical="center" wrapText="1"/>
    </xf>
    <xf numFmtId="0" fontId="10" fillId="0" borderId="47" xfId="0" applyFont="1" applyBorder="1" applyAlignment="1">
      <alignment vertical="center" wrapText="1"/>
    </xf>
    <xf numFmtId="3" fontId="17" fillId="0" borderId="41" xfId="0" applyNumberFormat="1" applyFont="1" applyBorder="1" applyAlignment="1">
      <alignment vertical="center" wrapText="1"/>
    </xf>
    <xf numFmtId="3" fontId="17" fillId="0" borderId="47" xfId="0" applyNumberFormat="1" applyFont="1" applyBorder="1" applyAlignment="1">
      <alignment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3" fontId="17" fillId="0" borderId="41" xfId="0" applyNumberFormat="1" applyFont="1" applyBorder="1" applyAlignment="1">
      <alignment horizontal="center" vertical="center" wrapText="1"/>
    </xf>
    <xf numFmtId="3" fontId="17" fillId="0" borderId="47" xfId="0" applyNumberFormat="1" applyFont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2" fillId="0" borderId="7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77" xfId="0" applyFont="1" applyBorder="1" applyAlignment="1">
      <alignment horizontal="center" vertical="center"/>
    </xf>
    <xf numFmtId="0" fontId="3" fillId="0" borderId="89" xfId="0" applyFont="1" applyBorder="1"/>
    <xf numFmtId="166" fontId="3" fillId="0" borderId="52" xfId="0" applyNumberFormat="1" applyFont="1" applyBorder="1" applyAlignment="1">
      <alignment horizontal="center"/>
    </xf>
    <xf numFmtId="166" fontId="3" fillId="0" borderId="78" xfId="0" applyNumberFormat="1" applyFont="1" applyBorder="1" applyAlignment="1">
      <alignment horizontal="center"/>
    </xf>
    <xf numFmtId="166" fontId="3" fillId="0" borderId="90" xfId="0" applyNumberFormat="1" applyFont="1" applyBorder="1" applyAlignment="1">
      <alignment horizontal="center"/>
    </xf>
    <xf numFmtId="166" fontId="3" fillId="0" borderId="89" xfId="0" applyNumberFormat="1" applyFont="1" applyBorder="1" applyAlignment="1">
      <alignment horizontal="center"/>
    </xf>
    <xf numFmtId="0" fontId="0" fillId="0" borderId="23" xfId="0" applyBorder="1"/>
    <xf numFmtId="0" fontId="3" fillId="0" borderId="52" xfId="0" applyFont="1" applyBorder="1" applyAlignment="1">
      <alignment horizontal="left"/>
    </xf>
    <xf numFmtId="0" fontId="3" fillId="0" borderId="52" xfId="0" applyFont="1" applyBorder="1" applyAlignment="1">
      <alignment horizontal="center"/>
    </xf>
    <xf numFmtId="166" fontId="3" fillId="0" borderId="102" xfId="0" applyNumberFormat="1" applyFont="1" applyBorder="1" applyAlignment="1">
      <alignment horizontal="center"/>
    </xf>
    <xf numFmtId="0" fontId="3" fillId="0" borderId="23" xfId="0" applyFont="1" applyBorder="1"/>
    <xf numFmtId="0" fontId="3" fillId="0" borderId="24" xfId="0" applyFont="1" applyBorder="1" applyAlignment="1">
      <alignment horizontal="left"/>
    </xf>
    <xf numFmtId="166" fontId="3" fillId="0" borderId="24" xfId="0" applyNumberFormat="1" applyFont="1" applyBorder="1" applyAlignment="1">
      <alignment horizontal="center"/>
    </xf>
    <xf numFmtId="166" fontId="3" fillId="0" borderId="23" xfId="0" applyNumberFormat="1" applyFont="1" applyBorder="1" applyAlignment="1">
      <alignment horizontal="center"/>
    </xf>
    <xf numFmtId="166" fontId="3" fillId="0" borderId="30" xfId="0" applyNumberFormat="1" applyFont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20" fillId="0" borderId="2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6" xfId="0" applyFont="1" applyFill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" fontId="20" fillId="0" borderId="8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1" fontId="20" fillId="0" borderId="0" xfId="0" applyNumberFormat="1" applyFont="1" applyBorder="1" applyAlignment="1">
      <alignment horizontal="center"/>
    </xf>
    <xf numFmtId="0" fontId="5" fillId="0" borderId="2" xfId="0" applyFont="1" applyBorder="1" applyAlignment="1">
      <alignment vertical="center"/>
    </xf>
    <xf numFmtId="0" fontId="14" fillId="0" borderId="8" xfId="0" applyFont="1" applyBorder="1" applyAlignment="1">
      <alignment horizontal="center"/>
    </xf>
    <xf numFmtId="3" fontId="20" fillId="0" borderId="19" xfId="0" applyNumberFormat="1" applyFont="1" applyBorder="1" applyAlignment="1">
      <alignment horizontal="center" vertical="center" wrapText="1"/>
    </xf>
    <xf numFmtId="3" fontId="20" fillId="0" borderId="8" xfId="0" applyNumberFormat="1" applyFont="1" applyBorder="1" applyAlignment="1">
      <alignment horizontal="center" vertical="center" wrapText="1"/>
    </xf>
    <xf numFmtId="3" fontId="20" fillId="0" borderId="15" xfId="0" applyNumberFormat="1" applyFont="1" applyBorder="1" applyAlignment="1">
      <alignment horizontal="center" vertical="center" wrapText="1"/>
    </xf>
    <xf numFmtId="0" fontId="3" fillId="0" borderId="94" xfId="0" applyFont="1" applyBorder="1"/>
    <xf numFmtId="0" fontId="3" fillId="0" borderId="95" xfId="0" applyFont="1" applyBorder="1" applyAlignment="1">
      <alignment horizontal="left"/>
    </xf>
    <xf numFmtId="0" fontId="3" fillId="0" borderId="95" xfId="0" applyFont="1" applyBorder="1" applyAlignment="1">
      <alignment horizontal="center"/>
    </xf>
    <xf numFmtId="166" fontId="3" fillId="0" borderId="95" xfId="0" applyNumberFormat="1" applyFont="1" applyBorder="1" applyAlignment="1">
      <alignment horizontal="center"/>
    </xf>
    <xf numFmtId="166" fontId="3" fillId="0" borderId="94" xfId="0" applyNumberFormat="1" applyFont="1" applyBorder="1" applyAlignment="1">
      <alignment horizontal="center"/>
    </xf>
    <xf numFmtId="166" fontId="3" fillId="0" borderId="103" xfId="0" applyNumberFormat="1" applyFont="1" applyBorder="1" applyAlignment="1">
      <alignment horizontal="center"/>
    </xf>
    <xf numFmtId="0" fontId="2" fillId="0" borderId="94" xfId="0" applyFont="1" applyBorder="1"/>
    <xf numFmtId="0" fontId="2" fillId="0" borderId="0" xfId="0" applyFont="1" applyFill="1" applyBorder="1"/>
    <xf numFmtId="0" fontId="2" fillId="0" borderId="2" xfId="0" applyFont="1" applyFill="1" applyBorder="1"/>
    <xf numFmtId="0" fontId="5" fillId="0" borderId="4" xfId="0" applyFont="1" applyBorder="1" applyAlignment="1">
      <alignment vertical="center" wrapText="1"/>
    </xf>
    <xf numFmtId="0" fontId="3" fillId="0" borderId="79" xfId="0" applyFont="1" applyFill="1" applyBorder="1"/>
    <xf numFmtId="0" fontId="3" fillId="0" borderId="35" xfId="0" applyFont="1" applyFill="1" applyBorder="1"/>
    <xf numFmtId="0" fontId="3" fillId="0" borderId="35" xfId="0" applyFont="1" applyFill="1" applyBorder="1" applyAlignment="1">
      <alignment horizontal="center"/>
    </xf>
    <xf numFmtId="166" fontId="5" fillId="0" borderId="98" xfId="0" applyNumberFormat="1" applyFont="1" applyBorder="1" applyAlignment="1">
      <alignment horizontal="center" vertical="center"/>
    </xf>
    <xf numFmtId="166" fontId="3" fillId="0" borderId="35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1" xfId="0" applyNumberFormat="1" applyFont="1" applyFill="1" applyBorder="1" applyAlignment="1">
      <alignment horizontal="center"/>
    </xf>
    <xf numFmtId="166" fontId="3" fillId="0" borderId="7" xfId="0" applyNumberFormat="1" applyFont="1" applyFill="1" applyBorder="1" applyAlignment="1">
      <alignment horizontal="center"/>
    </xf>
    <xf numFmtId="166" fontId="3" fillId="0" borderId="4" xfId="0" applyNumberFormat="1" applyFont="1" applyFill="1" applyBorder="1" applyAlignment="1">
      <alignment horizontal="center"/>
    </xf>
    <xf numFmtId="166" fontId="5" fillId="0" borderId="7" xfId="0" applyNumberFormat="1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 wrapText="1"/>
    </xf>
    <xf numFmtId="166" fontId="5" fillId="0" borderId="21" xfId="0" applyNumberFormat="1" applyFont="1" applyBorder="1" applyAlignment="1">
      <alignment horizontal="center" vertical="center" wrapText="1"/>
    </xf>
    <xf numFmtId="0" fontId="2" fillId="0" borderId="4" xfId="0" applyFont="1" applyFill="1" applyBorder="1"/>
    <xf numFmtId="166" fontId="3" fillId="0" borderId="5" xfId="0" applyNumberFormat="1" applyFont="1" applyFill="1" applyBorder="1" applyAlignment="1">
      <alignment horizontal="center" vertical="center" wrapText="1"/>
    </xf>
    <xf numFmtId="166" fontId="3" fillId="0" borderId="14" xfId="0" applyNumberFormat="1" applyFont="1" applyFill="1" applyBorder="1" applyAlignment="1">
      <alignment horizontal="center" vertical="center" wrapText="1"/>
    </xf>
    <xf numFmtId="166" fontId="14" fillId="0" borderId="13" xfId="0" applyNumberFormat="1" applyFont="1" applyFill="1" applyBorder="1" applyAlignment="1">
      <alignment horizontal="center" vertical="center" wrapText="1"/>
    </xf>
    <xf numFmtId="0" fontId="2" fillId="0" borderId="62" xfId="0" applyFont="1" applyBorder="1" applyAlignment="1">
      <alignment horizontal="left" vertical="center" wrapText="1"/>
    </xf>
    <xf numFmtId="0" fontId="13" fillId="0" borderId="53" xfId="0" applyFont="1" applyBorder="1" applyAlignment="1">
      <alignment horizontal="left" vertical="center" wrapText="1"/>
    </xf>
    <xf numFmtId="0" fontId="24" fillId="0" borderId="0" xfId="0" applyFont="1"/>
    <xf numFmtId="0" fontId="18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14" fillId="0" borderId="58" xfId="0" applyFont="1" applyFill="1" applyBorder="1" applyAlignment="1">
      <alignment horizontal="center" vertical="center" wrapText="1"/>
    </xf>
    <xf numFmtId="0" fontId="14" fillId="0" borderId="60" xfId="0" applyFont="1" applyBorder="1"/>
    <xf numFmtId="0" fontId="0" fillId="0" borderId="6" xfId="0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190499</xdr:rowOff>
    </xdr:from>
    <xdr:to>
      <xdr:col>1</xdr:col>
      <xdr:colOff>11953875</xdr:colOff>
      <xdr:row>115</xdr:row>
      <xdr:rowOff>9524</xdr:rowOff>
    </xdr:to>
    <xdr:pic>
      <xdr:nvPicPr>
        <xdr:cNvPr id="3" name="Picture 2" descr="C:\Users\Doug\Documents\Zinc\Australia\Glencore\MEDIA-CENTRE---Gallery_Our-operations-5.jpg">
          <a:extLst>
            <a:ext uri="{FF2B5EF4-FFF2-40B4-BE49-F238E27FC236}">
              <a16:creationId xmlns:a16="http://schemas.microsoft.com/office/drawing/2014/main" id="{74CB7613-3AC5-4CA9-A31E-231857F6AF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2149"/>
          <a:ext cx="11953875" cy="1524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6000750</xdr:colOff>
      <xdr:row>167</xdr:row>
      <xdr:rowOff>0</xdr:rowOff>
    </xdr:to>
    <xdr:pic>
      <xdr:nvPicPr>
        <xdr:cNvPr id="4" name="Picture 3" descr="Image may contain: one or more people">
          <a:extLst>
            <a:ext uri="{FF2B5EF4-FFF2-40B4-BE49-F238E27FC236}">
              <a16:creationId xmlns:a16="http://schemas.microsoft.com/office/drawing/2014/main" id="{B2FAEC2D-FE85-43D2-A438-3341A2C46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203025"/>
          <a:ext cx="6000750" cy="91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53</xdr:row>
      <xdr:rowOff>0</xdr:rowOff>
    </xdr:from>
    <xdr:to>
      <xdr:col>44</xdr:col>
      <xdr:colOff>381000</xdr:colOff>
      <xdr:row>141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1F894-D098-404A-973B-7233A5812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10067925"/>
          <a:ext cx="22317075" cy="1693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144</xdr:row>
      <xdr:rowOff>0</xdr:rowOff>
    </xdr:from>
    <xdr:to>
      <xdr:col>26</xdr:col>
      <xdr:colOff>495300</xdr:colOff>
      <xdr:row>213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9162B7-509F-4FC2-B82F-F4518F7D3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27403425"/>
          <a:ext cx="11458575" cy="132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200"/>
  <sheetViews>
    <sheetView tabSelected="1" workbookViewId="0">
      <selection activeCell="A199" sqref="A199:XFD199"/>
    </sheetView>
  </sheetViews>
  <sheetFormatPr defaultRowHeight="15" x14ac:dyDescent="0.25"/>
  <cols>
    <col min="2" max="2" width="201.85546875" customWidth="1"/>
  </cols>
  <sheetData>
    <row r="3" spans="2:2" ht="23.25" x14ac:dyDescent="0.35">
      <c r="B3" s="900" t="s">
        <v>588</v>
      </c>
    </row>
    <row r="4" spans="2:2" ht="18.75" x14ac:dyDescent="0.3">
      <c r="B4" s="266"/>
    </row>
    <row r="5" spans="2:2" ht="18.75" x14ac:dyDescent="0.3">
      <c r="B5" s="897" t="s">
        <v>546</v>
      </c>
    </row>
    <row r="6" spans="2:2" ht="18.75" x14ac:dyDescent="0.3">
      <c r="B6" s="897" t="s">
        <v>560</v>
      </c>
    </row>
    <row r="7" spans="2:2" ht="18.75" x14ac:dyDescent="0.3">
      <c r="B7" s="897" t="s">
        <v>535</v>
      </c>
    </row>
    <row r="8" spans="2:2" ht="18.75" x14ac:dyDescent="0.3">
      <c r="B8" s="897" t="s">
        <v>542</v>
      </c>
    </row>
    <row r="9" spans="2:2" ht="18.75" x14ac:dyDescent="0.3">
      <c r="B9" s="897"/>
    </row>
    <row r="10" spans="2:2" ht="18.75" x14ac:dyDescent="0.3">
      <c r="B10" s="266" t="s">
        <v>547</v>
      </c>
    </row>
    <row r="11" spans="2:2" ht="18.75" x14ac:dyDescent="0.3">
      <c r="B11" s="266" t="s">
        <v>539</v>
      </c>
    </row>
    <row r="12" spans="2:2" ht="18.75" x14ac:dyDescent="0.3">
      <c r="B12" s="266" t="s">
        <v>543</v>
      </c>
    </row>
    <row r="13" spans="2:2" ht="18.75" x14ac:dyDescent="0.3">
      <c r="B13" s="266" t="s">
        <v>541</v>
      </c>
    </row>
    <row r="14" spans="2:2" ht="18.75" x14ac:dyDescent="0.3">
      <c r="B14" s="266"/>
    </row>
    <row r="15" spans="2:2" ht="18.75" x14ac:dyDescent="0.3">
      <c r="B15" s="719" t="s">
        <v>548</v>
      </c>
    </row>
    <row r="16" spans="2:2" ht="18.75" x14ac:dyDescent="0.3">
      <c r="B16" s="719" t="s">
        <v>544</v>
      </c>
    </row>
    <row r="17" spans="2:2" ht="18.75" x14ac:dyDescent="0.3">
      <c r="B17" s="266"/>
    </row>
    <row r="18" spans="2:2" ht="18.75" x14ac:dyDescent="0.3">
      <c r="B18" s="266" t="s">
        <v>545</v>
      </c>
    </row>
    <row r="19" spans="2:2" ht="18.75" x14ac:dyDescent="0.3">
      <c r="B19" s="897"/>
    </row>
    <row r="20" spans="2:2" ht="18.75" x14ac:dyDescent="0.25">
      <c r="B20" s="898" t="s">
        <v>531</v>
      </c>
    </row>
    <row r="21" spans="2:2" ht="18.75" x14ac:dyDescent="0.25">
      <c r="B21" s="898"/>
    </row>
    <row r="22" spans="2:2" ht="18.75" x14ac:dyDescent="0.25">
      <c r="B22" s="899" t="s">
        <v>537</v>
      </c>
    </row>
    <row r="23" spans="2:2" ht="18.75" x14ac:dyDescent="0.25">
      <c r="B23" s="899" t="s">
        <v>534</v>
      </c>
    </row>
    <row r="24" spans="2:2" ht="18.75" x14ac:dyDescent="0.25">
      <c r="B24" s="899"/>
    </row>
    <row r="25" spans="2:2" ht="18.75" x14ac:dyDescent="0.25">
      <c r="B25" s="898" t="s">
        <v>532</v>
      </c>
    </row>
    <row r="26" spans="2:2" ht="18.75" x14ac:dyDescent="0.25">
      <c r="B26" s="898"/>
    </row>
    <row r="27" spans="2:2" ht="18.75" x14ac:dyDescent="0.25">
      <c r="B27" s="899" t="s">
        <v>536</v>
      </c>
    </row>
    <row r="28" spans="2:2" ht="18.75" x14ac:dyDescent="0.25">
      <c r="B28" s="899" t="s">
        <v>533</v>
      </c>
    </row>
    <row r="29" spans="2:2" ht="18.75" x14ac:dyDescent="0.25">
      <c r="B29" s="899" t="s">
        <v>538</v>
      </c>
    </row>
    <row r="30" spans="2:2" ht="18.75" x14ac:dyDescent="0.25">
      <c r="B30" s="901" t="s">
        <v>561</v>
      </c>
    </row>
    <row r="32" spans="2:2" ht="18.75" x14ac:dyDescent="0.25">
      <c r="B32" s="898" t="s">
        <v>589</v>
      </c>
    </row>
    <row r="33" spans="2:2" ht="18.75" x14ac:dyDescent="0.25">
      <c r="B33" s="898" t="s">
        <v>540</v>
      </c>
    </row>
    <row r="116" spans="2:2" ht="18.75" x14ac:dyDescent="0.3">
      <c r="B116" s="280" t="s">
        <v>563</v>
      </c>
    </row>
    <row r="169" spans="2:2" ht="18.75" x14ac:dyDescent="0.3">
      <c r="B169" s="266" t="s">
        <v>591</v>
      </c>
    </row>
    <row r="170" spans="2:2" ht="18.75" x14ac:dyDescent="0.3">
      <c r="B170" s="266" t="s">
        <v>590</v>
      </c>
    </row>
    <row r="199" spans="2:2" ht="18.75" x14ac:dyDescent="0.3">
      <c r="B199" s="266"/>
    </row>
    <row r="200" spans="2:2" ht="18.75" x14ac:dyDescent="0.3">
      <c r="B200" s="26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88"/>
  <sheetViews>
    <sheetView workbookViewId="0"/>
  </sheetViews>
  <sheetFormatPr defaultRowHeight="15" x14ac:dyDescent="0.25"/>
  <cols>
    <col min="2" max="2" width="32" customWidth="1"/>
    <col min="3" max="3" width="19.28515625" customWidth="1"/>
    <col min="4" max="4" width="17" customWidth="1"/>
    <col min="5" max="5" width="12.7109375" customWidth="1"/>
    <col min="6" max="9" width="9.5703125" bestFit="1" customWidth="1"/>
    <col min="10" max="11" width="9.28515625" bestFit="1" customWidth="1"/>
    <col min="12" max="16" width="9.5703125" bestFit="1" customWidth="1"/>
    <col min="18" max="18" width="123.28515625" customWidth="1"/>
    <col min="24" max="24" width="11.140625" bestFit="1" customWidth="1"/>
  </cols>
  <sheetData>
    <row r="1" spans="2:18" ht="18.75" x14ac:dyDescent="0.3">
      <c r="B1" s="266" t="s">
        <v>553</v>
      </c>
      <c r="H1" s="266" t="s">
        <v>562</v>
      </c>
    </row>
    <row r="4" spans="2:18" ht="18.75" x14ac:dyDescent="0.3">
      <c r="B4" s="266" t="s">
        <v>248</v>
      </c>
    </row>
    <row r="6" spans="2:18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7">
        <f t="shared" si="0"/>
        <v>2015</v>
      </c>
      <c r="J6" s="8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2:18" x14ac:dyDescent="0.25">
      <c r="C7" s="2"/>
      <c r="D7" s="2"/>
      <c r="E7" s="276" t="s">
        <v>207</v>
      </c>
      <c r="F7" s="2"/>
      <c r="G7" s="2"/>
      <c r="H7" s="2"/>
      <c r="I7" s="3"/>
      <c r="J7" s="4"/>
      <c r="K7" s="2"/>
      <c r="L7" s="2"/>
      <c r="M7" s="2"/>
      <c r="N7" s="2"/>
      <c r="O7" s="2"/>
    </row>
    <row r="8" spans="2:18" ht="15.75" x14ac:dyDescent="0.25">
      <c r="B8" s="81" t="s">
        <v>506</v>
      </c>
      <c r="C8" s="55" t="s">
        <v>82</v>
      </c>
      <c r="D8" s="56" t="s">
        <v>197</v>
      </c>
      <c r="E8" s="56" t="s">
        <v>19</v>
      </c>
      <c r="F8" s="247">
        <f>4400*4.8%*0.684</f>
        <v>144.46080000000003</v>
      </c>
      <c r="G8" s="247">
        <f>4400*3.4%*0.703</f>
        <v>105.1688</v>
      </c>
      <c r="H8" s="247">
        <f>3300*3.9%*0.762</f>
        <v>98.069399999999987</v>
      </c>
      <c r="I8" s="249">
        <f>3200*4.8%*0.795</f>
        <v>122.11199999999999</v>
      </c>
      <c r="J8" s="250">
        <f>3000*4.8%*0.77</f>
        <v>110.88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3">
        <v>0</v>
      </c>
      <c r="R8" t="s">
        <v>502</v>
      </c>
    </row>
    <row r="9" spans="2:18" ht="15.75" x14ac:dyDescent="0.25">
      <c r="B9" s="741" t="s">
        <v>507</v>
      </c>
      <c r="C9" s="34" t="s">
        <v>82</v>
      </c>
      <c r="D9" s="35" t="s">
        <v>197</v>
      </c>
      <c r="E9" s="35" t="s">
        <v>19</v>
      </c>
      <c r="F9" s="248">
        <f>1400*6.1%*0.684</f>
        <v>58.413599999999995</v>
      </c>
      <c r="G9" s="248">
        <f>1200*6.8%*0.703</f>
        <v>57.364800000000002</v>
      </c>
      <c r="H9" s="248">
        <f>480*7.7%*0.762</f>
        <v>28.163520000000002</v>
      </c>
      <c r="I9" s="39">
        <v>0</v>
      </c>
      <c r="J9" s="40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8">
        <v>0</v>
      </c>
      <c r="R9" t="s">
        <v>580</v>
      </c>
    </row>
    <row r="10" spans="2:18" ht="15.75" x14ac:dyDescent="0.25">
      <c r="B10" s="741" t="s">
        <v>508</v>
      </c>
      <c r="C10" s="34" t="s">
        <v>82</v>
      </c>
      <c r="D10" s="35" t="s">
        <v>504</v>
      </c>
      <c r="E10" s="35" t="s">
        <v>208</v>
      </c>
      <c r="F10" s="35">
        <v>0</v>
      </c>
      <c r="G10" s="248">
        <f>500*11%*0.703</f>
        <v>38.664999999999999</v>
      </c>
      <c r="H10" s="248">
        <f>970*12.7%*0.762</f>
        <v>93.870779999999996</v>
      </c>
      <c r="I10" s="251">
        <f>1200*15.5%*0.795</f>
        <v>147.87</v>
      </c>
      <c r="J10" s="40">
        <v>0</v>
      </c>
      <c r="K10" s="248">
        <f>800*14%*0.79</f>
        <v>88.480000000000018</v>
      </c>
      <c r="L10" s="248">
        <f>1600*14%*0.79</f>
        <v>176.96000000000004</v>
      </c>
      <c r="M10" s="248">
        <f>1600*13%*0.79</f>
        <v>164.32</v>
      </c>
      <c r="N10" s="248">
        <f>+M10</f>
        <v>164.32</v>
      </c>
      <c r="O10" s="248">
        <f>+N10</f>
        <v>164.32</v>
      </c>
      <c r="P10" s="38">
        <f>1300*13%*0.7</f>
        <v>118.3</v>
      </c>
      <c r="R10" t="s">
        <v>505</v>
      </c>
    </row>
    <row r="11" spans="2:18" ht="15.75" x14ac:dyDescent="0.25">
      <c r="B11" s="260" t="s">
        <v>509</v>
      </c>
      <c r="C11" s="28" t="s">
        <v>82</v>
      </c>
      <c r="D11" s="29" t="s">
        <v>199</v>
      </c>
      <c r="E11" s="29" t="s">
        <v>208</v>
      </c>
      <c r="F11" s="244">
        <f>3700*7.4%*0.684</f>
        <v>187.27920000000003</v>
      </c>
      <c r="G11" s="244">
        <f>4200*6.9%*0.703</f>
        <v>203.7294</v>
      </c>
      <c r="H11" s="244">
        <f>3900*7.3%*0.762</f>
        <v>216.94139999999999</v>
      </c>
      <c r="I11" s="254">
        <f>3800*6.9%*0.795</f>
        <v>208.44900000000004</v>
      </c>
      <c r="J11" s="255">
        <f>3500*6.9%*0.77</f>
        <v>185.95500000000001</v>
      </c>
      <c r="K11" s="244">
        <f>4000*7%*0.79</f>
        <v>221.20000000000002</v>
      </c>
      <c r="L11" s="244">
        <f>4500*7%*0.79</f>
        <v>248.85000000000005</v>
      </c>
      <c r="M11" s="244">
        <f>+L11</f>
        <v>248.85000000000005</v>
      </c>
      <c r="N11" s="244">
        <f>+M11</f>
        <v>248.85000000000005</v>
      </c>
      <c r="O11" s="244">
        <f>+N11</f>
        <v>248.85000000000005</v>
      </c>
      <c r="P11" s="472">
        <f>+O11</f>
        <v>248.85000000000005</v>
      </c>
      <c r="R11" t="s">
        <v>503</v>
      </c>
    </row>
    <row r="12" spans="2:18" ht="15.75" x14ac:dyDescent="0.25">
      <c r="B12" s="81" t="s">
        <v>37</v>
      </c>
      <c r="C12" s="16" t="s">
        <v>82</v>
      </c>
      <c r="D12" s="17" t="s">
        <v>199</v>
      </c>
      <c r="E12" s="17" t="s">
        <v>19</v>
      </c>
      <c r="F12" s="17">
        <v>202.1</v>
      </c>
      <c r="G12" s="17">
        <v>203.3</v>
      </c>
      <c r="H12" s="17">
        <v>224.3</v>
      </c>
      <c r="I12" s="18">
        <v>272.7</v>
      </c>
      <c r="J12" s="19">
        <v>185.3</v>
      </c>
      <c r="K12" s="17">
        <v>195</v>
      </c>
      <c r="L12" s="17">
        <v>195</v>
      </c>
      <c r="M12" s="17">
        <v>195</v>
      </c>
      <c r="N12" s="17">
        <v>195</v>
      </c>
      <c r="O12" s="17">
        <v>195</v>
      </c>
      <c r="P12" s="20">
        <v>195</v>
      </c>
      <c r="R12" t="s">
        <v>512</v>
      </c>
    </row>
    <row r="13" spans="2:18" ht="16.5" thickBot="1" x14ac:dyDescent="0.3">
      <c r="B13" s="82" t="s">
        <v>38</v>
      </c>
      <c r="C13" s="34" t="s">
        <v>172</v>
      </c>
      <c r="D13" s="35" t="s">
        <v>197</v>
      </c>
      <c r="E13" s="35" t="s">
        <v>19</v>
      </c>
      <c r="F13" s="35">
        <v>514.70000000000005</v>
      </c>
      <c r="G13" s="35">
        <v>488.2</v>
      </c>
      <c r="H13" s="35">
        <v>465.7</v>
      </c>
      <c r="I13" s="39">
        <v>392.7</v>
      </c>
      <c r="J13" s="782">
        <v>16.5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8">
        <v>0</v>
      </c>
    </row>
    <row r="14" spans="2:18" ht="15.75" x14ac:dyDescent="0.25">
      <c r="B14" s="82" t="s">
        <v>39</v>
      </c>
      <c r="C14" s="34" t="s">
        <v>172</v>
      </c>
      <c r="D14" s="35" t="s">
        <v>199</v>
      </c>
      <c r="E14" s="35" t="s">
        <v>208</v>
      </c>
      <c r="F14" s="35">
        <v>70.400000000000006</v>
      </c>
      <c r="G14" s="35">
        <v>88.4</v>
      </c>
      <c r="H14" s="35">
        <v>83.5</v>
      </c>
      <c r="I14" s="39">
        <v>92.1</v>
      </c>
      <c r="J14" s="783">
        <v>78.8</v>
      </c>
      <c r="K14" s="308">
        <v>74.8</v>
      </c>
      <c r="L14" s="35">
        <v>70.900000000000006</v>
      </c>
      <c r="M14" s="35">
        <v>66.900000000000006</v>
      </c>
      <c r="N14" s="35">
        <v>63</v>
      </c>
      <c r="O14" s="35">
        <v>63</v>
      </c>
      <c r="P14" s="38">
        <v>59.1</v>
      </c>
      <c r="R14" t="s">
        <v>510</v>
      </c>
    </row>
    <row r="15" spans="2:18" ht="16.5" thickBot="1" x14ac:dyDescent="0.3">
      <c r="B15" s="82" t="s">
        <v>40</v>
      </c>
      <c r="C15" s="34" t="s">
        <v>172</v>
      </c>
      <c r="D15" s="35" t="s">
        <v>271</v>
      </c>
      <c r="E15" s="35" t="s">
        <v>208</v>
      </c>
      <c r="F15" s="35">
        <v>37.4</v>
      </c>
      <c r="G15" s="35">
        <v>23.6</v>
      </c>
      <c r="H15" s="35">
        <v>37.9</v>
      </c>
      <c r="I15" s="39">
        <v>55.1</v>
      </c>
      <c r="J15" s="784">
        <v>39.200000000000003</v>
      </c>
      <c r="K15" s="308">
        <v>39.200000000000003</v>
      </c>
      <c r="L15" s="35">
        <v>39.200000000000003</v>
      </c>
      <c r="M15" s="35">
        <v>39.200000000000003</v>
      </c>
      <c r="N15" s="35">
        <v>39.200000000000003</v>
      </c>
      <c r="O15" s="35">
        <v>0</v>
      </c>
      <c r="P15" s="38">
        <v>0</v>
      </c>
    </row>
    <row r="16" spans="2:18" ht="15.75" x14ac:dyDescent="0.25">
      <c r="B16" s="82" t="s">
        <v>41</v>
      </c>
      <c r="C16" s="34" t="s">
        <v>172</v>
      </c>
      <c r="D16" s="35" t="s">
        <v>272</v>
      </c>
      <c r="E16" s="35" t="s">
        <v>208</v>
      </c>
      <c r="F16" s="35">
        <v>0</v>
      </c>
      <c r="G16" s="35">
        <v>0</v>
      </c>
      <c r="H16" s="35">
        <v>0</v>
      </c>
      <c r="I16" s="39">
        <v>0</v>
      </c>
      <c r="J16" s="310">
        <v>0</v>
      </c>
      <c r="K16" s="35">
        <v>0</v>
      </c>
      <c r="L16" s="35">
        <v>42</v>
      </c>
      <c r="M16" s="35">
        <v>125.6</v>
      </c>
      <c r="N16" s="35">
        <v>167.4</v>
      </c>
      <c r="O16" s="35">
        <v>172.7</v>
      </c>
      <c r="P16" s="38">
        <v>177.9</v>
      </c>
    </row>
    <row r="17" spans="2:25" ht="15.75" x14ac:dyDescent="0.25">
      <c r="B17" s="82" t="s">
        <v>42</v>
      </c>
      <c r="C17" s="34" t="s">
        <v>173</v>
      </c>
      <c r="D17" s="35" t="s">
        <v>199</v>
      </c>
      <c r="E17" s="35" t="s">
        <v>208</v>
      </c>
      <c r="F17" s="35">
        <v>67.900000000000006</v>
      </c>
      <c r="G17" s="35">
        <v>67.3</v>
      </c>
      <c r="H17" s="35">
        <v>69.599999999999994</v>
      </c>
      <c r="I17" s="39">
        <v>83.9</v>
      </c>
      <c r="J17" s="40">
        <v>94.1</v>
      </c>
      <c r="K17" s="35">
        <v>91.2</v>
      </c>
      <c r="L17" s="35">
        <v>99.9</v>
      </c>
      <c r="M17" s="35">
        <v>102.2</v>
      </c>
      <c r="N17" s="35">
        <v>96</v>
      </c>
      <c r="O17" s="35">
        <v>89.2</v>
      </c>
      <c r="P17" s="38">
        <v>80.400000000000006</v>
      </c>
    </row>
    <row r="18" spans="2:25" ht="15.75" x14ac:dyDescent="0.25">
      <c r="B18" s="82" t="s">
        <v>43</v>
      </c>
      <c r="C18" s="34" t="s">
        <v>174</v>
      </c>
      <c r="D18" s="35" t="s">
        <v>199</v>
      </c>
      <c r="E18" s="35" t="s">
        <v>208</v>
      </c>
      <c r="F18" s="322">
        <v>40</v>
      </c>
      <c r="G18" s="322">
        <v>40</v>
      </c>
      <c r="H18" s="322">
        <v>40</v>
      </c>
      <c r="I18" s="39">
        <v>40</v>
      </c>
      <c r="J18" s="40">
        <v>11.3</v>
      </c>
      <c r="K18" s="35">
        <v>22.7</v>
      </c>
      <c r="L18" s="35">
        <v>39.700000000000003</v>
      </c>
      <c r="M18" s="35">
        <v>39.700000000000003</v>
      </c>
      <c r="N18" s="35">
        <v>0</v>
      </c>
      <c r="O18" s="35">
        <v>0</v>
      </c>
      <c r="P18" s="38">
        <v>0</v>
      </c>
    </row>
    <row r="19" spans="2:25" ht="16.5" thickBot="1" x14ac:dyDescent="0.3">
      <c r="B19" s="82" t="s">
        <v>46</v>
      </c>
      <c r="C19" s="34" t="s">
        <v>176</v>
      </c>
      <c r="D19" s="35" t="s">
        <v>271</v>
      </c>
      <c r="E19" s="35" t="s">
        <v>208</v>
      </c>
      <c r="F19" s="804">
        <v>16.5</v>
      </c>
      <c r="G19" s="804">
        <v>33.799999999999997</v>
      </c>
      <c r="H19" s="804">
        <v>41.1</v>
      </c>
      <c r="I19" s="324">
        <v>42</v>
      </c>
      <c r="J19" s="37">
        <v>37.4</v>
      </c>
      <c r="K19" s="35">
        <v>31.3</v>
      </c>
      <c r="L19" s="35">
        <v>26.1</v>
      </c>
      <c r="M19" s="35">
        <v>18.3</v>
      </c>
      <c r="N19" s="35">
        <v>0</v>
      </c>
      <c r="O19" s="35">
        <v>0</v>
      </c>
      <c r="P19" s="38">
        <v>0</v>
      </c>
    </row>
    <row r="20" spans="2:25" ht="15.75" x14ac:dyDescent="0.25">
      <c r="B20" s="82" t="s">
        <v>44</v>
      </c>
      <c r="C20" s="34" t="s">
        <v>174</v>
      </c>
      <c r="D20" s="35" t="s">
        <v>199</v>
      </c>
      <c r="E20" s="35" t="s">
        <v>208</v>
      </c>
      <c r="F20" s="333"/>
      <c r="G20" s="334"/>
      <c r="H20" s="335"/>
      <c r="I20" s="38">
        <v>34</v>
      </c>
      <c r="J20" s="40">
        <v>34</v>
      </c>
      <c r="K20" s="35">
        <v>34</v>
      </c>
      <c r="L20" s="35">
        <v>34</v>
      </c>
      <c r="M20" s="35">
        <v>34</v>
      </c>
      <c r="N20" s="35">
        <v>34</v>
      </c>
      <c r="O20" s="35">
        <v>34</v>
      </c>
      <c r="P20" s="38">
        <v>34</v>
      </c>
    </row>
    <row r="21" spans="2:25" ht="15.75" x14ac:dyDescent="0.25">
      <c r="B21" s="82" t="s">
        <v>45</v>
      </c>
      <c r="C21" s="28" t="s">
        <v>175</v>
      </c>
      <c r="D21" s="35" t="s">
        <v>199</v>
      </c>
      <c r="E21" s="35" t="s">
        <v>208</v>
      </c>
      <c r="F21" s="330">
        <v>201.6</v>
      </c>
      <c r="G21" s="331">
        <v>174.3</v>
      </c>
      <c r="H21" s="332">
        <v>161.9</v>
      </c>
      <c r="I21" s="60">
        <v>50</v>
      </c>
      <c r="J21" s="31">
        <v>38</v>
      </c>
      <c r="K21" s="29">
        <v>35</v>
      </c>
      <c r="L21" s="29">
        <v>35</v>
      </c>
      <c r="M21" s="29">
        <v>35</v>
      </c>
      <c r="N21" s="29">
        <v>35</v>
      </c>
      <c r="O21" s="29">
        <v>35</v>
      </c>
      <c r="P21" s="32">
        <v>35</v>
      </c>
    </row>
    <row r="22" spans="2:25" ht="15.75" x14ac:dyDescent="0.25">
      <c r="B22" s="246" t="s">
        <v>47</v>
      </c>
      <c r="C22" s="34" t="s">
        <v>177</v>
      </c>
      <c r="D22" s="35" t="s">
        <v>199</v>
      </c>
      <c r="E22" s="35" t="s">
        <v>208</v>
      </c>
      <c r="F22" s="325"/>
      <c r="G22" s="262"/>
      <c r="H22" s="326"/>
      <c r="I22" s="38">
        <v>7</v>
      </c>
      <c r="J22" s="40">
        <v>9</v>
      </c>
      <c r="K22" s="35">
        <v>9</v>
      </c>
      <c r="L22" s="35">
        <v>9</v>
      </c>
      <c r="M22" s="35">
        <v>9</v>
      </c>
      <c r="N22" s="35">
        <v>9</v>
      </c>
      <c r="O22" s="35">
        <v>9</v>
      </c>
      <c r="P22" s="38">
        <v>9</v>
      </c>
    </row>
    <row r="23" spans="2:25" ht="16.5" thickBot="1" x14ac:dyDescent="0.3">
      <c r="B23" s="83" t="s">
        <v>48</v>
      </c>
      <c r="C23" s="28"/>
      <c r="D23" s="29" t="s">
        <v>197</v>
      </c>
      <c r="E23" s="62"/>
      <c r="F23" s="327"/>
      <c r="G23" s="328"/>
      <c r="H23" s="329"/>
      <c r="I23" s="60"/>
      <c r="J23" s="31"/>
      <c r="K23" s="29"/>
      <c r="L23" s="29"/>
      <c r="M23" s="29"/>
      <c r="N23" s="29"/>
      <c r="O23" s="29"/>
      <c r="P23" s="60"/>
    </row>
    <row r="24" spans="2:25" ht="15.75" x14ac:dyDescent="0.25">
      <c r="B24" s="50" t="s">
        <v>15</v>
      </c>
      <c r="C24" s="44"/>
      <c r="D24" s="44"/>
      <c r="E24" s="261"/>
      <c r="F24" s="473">
        <v>1541</v>
      </c>
      <c r="G24" s="473">
        <f t="shared" ref="G24:P24" si="1">SUM(G8:G22)</f>
        <v>1523.828</v>
      </c>
      <c r="H24" s="473">
        <f t="shared" si="1"/>
        <v>1561.0451</v>
      </c>
      <c r="I24" s="779">
        <f t="shared" si="1"/>
        <v>1547.931</v>
      </c>
      <c r="J24" s="780">
        <f t="shared" si="1"/>
        <v>840.43500000000006</v>
      </c>
      <c r="K24" s="473">
        <f t="shared" si="1"/>
        <v>841.88000000000011</v>
      </c>
      <c r="L24" s="473">
        <f t="shared" si="1"/>
        <v>1016.6100000000001</v>
      </c>
      <c r="M24" s="473">
        <f t="shared" si="1"/>
        <v>1078.0700000000002</v>
      </c>
      <c r="N24" s="473">
        <f t="shared" si="1"/>
        <v>1051.77</v>
      </c>
      <c r="O24" s="473">
        <f t="shared" si="1"/>
        <v>1011.0700000000002</v>
      </c>
      <c r="P24" s="779">
        <f t="shared" si="1"/>
        <v>957.55000000000007</v>
      </c>
    </row>
    <row r="25" spans="2:25" ht="15.75" x14ac:dyDescent="0.25">
      <c r="B25" s="27"/>
      <c r="C25" s="28"/>
      <c r="D25" s="28"/>
      <c r="E25" s="260"/>
      <c r="F25" s="28"/>
      <c r="G25" s="28"/>
      <c r="H25" s="28"/>
      <c r="I25" s="45"/>
      <c r="J25" s="46"/>
      <c r="K25" s="28"/>
      <c r="L25" s="28"/>
      <c r="M25" s="28"/>
      <c r="N25" s="28"/>
      <c r="O25" s="28"/>
      <c r="P25" s="45"/>
    </row>
    <row r="26" spans="2:25" x14ac:dyDescent="0.25">
      <c r="B26" s="263" t="s">
        <v>49</v>
      </c>
      <c r="V26" s="319"/>
      <c r="W26" s="319"/>
      <c r="X26" s="320"/>
      <c r="Y26" s="319"/>
    </row>
    <row r="27" spans="2:25" x14ac:dyDescent="0.25">
      <c r="B27" t="s">
        <v>50</v>
      </c>
      <c r="V27" s="319"/>
      <c r="W27" s="319"/>
      <c r="X27" s="320"/>
    </row>
    <row r="28" spans="2:25" x14ac:dyDescent="0.25">
      <c r="B28" t="s">
        <v>51</v>
      </c>
      <c r="V28" s="319"/>
      <c r="W28" s="319"/>
      <c r="X28" s="320"/>
    </row>
    <row r="29" spans="2:25" x14ac:dyDescent="0.25">
      <c r="B29" s="51"/>
      <c r="C29" s="51"/>
      <c r="D29" s="51"/>
      <c r="E29" s="51"/>
      <c r="F29" s="51"/>
      <c r="G29" s="51"/>
      <c r="H29" s="51"/>
      <c r="I29" s="51"/>
      <c r="J29" s="51"/>
      <c r="K29" s="51"/>
      <c r="X29" s="321"/>
    </row>
    <row r="30" spans="2:25" x14ac:dyDescent="0.25"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2:25" ht="18.75" x14ac:dyDescent="0.3">
      <c r="B31" s="266" t="s">
        <v>210</v>
      </c>
      <c r="C31" s="80"/>
      <c r="D31" s="80"/>
      <c r="E31" s="80"/>
      <c r="F31" s="80"/>
      <c r="G31" s="80"/>
      <c r="H31" s="80"/>
      <c r="I31" s="80"/>
      <c r="J31" s="80"/>
      <c r="K31" s="80"/>
    </row>
    <row r="32" spans="2:25" ht="18.75" x14ac:dyDescent="0.3">
      <c r="B32" s="51"/>
      <c r="C32" s="80"/>
      <c r="D32" s="80"/>
      <c r="E32" s="80"/>
      <c r="F32" s="80"/>
      <c r="G32" s="80"/>
      <c r="H32" s="80"/>
      <c r="I32" s="80"/>
      <c r="J32" s="80"/>
      <c r="K32" s="80"/>
      <c r="R32" s="280" t="s">
        <v>214</v>
      </c>
    </row>
    <row r="33" spans="2:19" ht="15.75" x14ac:dyDescent="0.25">
      <c r="B33" s="5" t="s">
        <v>0</v>
      </c>
      <c r="C33" s="6" t="s">
        <v>1</v>
      </c>
      <c r="D33" s="6" t="s">
        <v>2</v>
      </c>
      <c r="E33" s="6" t="s">
        <v>206</v>
      </c>
      <c r="F33" s="6">
        <v>2012</v>
      </c>
      <c r="G33" s="6">
        <f>+F33+1</f>
        <v>2013</v>
      </c>
      <c r="H33" s="6">
        <f t="shared" ref="H33" si="2">+G33+1</f>
        <v>2014</v>
      </c>
      <c r="I33" s="7">
        <f>+H33+1</f>
        <v>2015</v>
      </c>
      <c r="J33" s="8">
        <f t="shared" ref="J33" si="3">+I33+1</f>
        <v>2016</v>
      </c>
      <c r="K33" s="6">
        <f t="shared" ref="K33" si="4">+J33+1</f>
        <v>2017</v>
      </c>
      <c r="L33" s="6">
        <f t="shared" ref="L33" si="5">+K33+1</f>
        <v>2018</v>
      </c>
      <c r="M33" s="6">
        <f t="shared" ref="M33" si="6">+L33+1</f>
        <v>2019</v>
      </c>
      <c r="N33" s="6">
        <f t="shared" ref="N33" si="7">+M33+1</f>
        <v>2020</v>
      </c>
      <c r="O33" s="6">
        <f t="shared" ref="O33" si="8">+N33+1</f>
        <v>2021</v>
      </c>
      <c r="P33" s="5">
        <f t="shared" ref="P33" si="9">+O33+1</f>
        <v>2022</v>
      </c>
    </row>
    <row r="34" spans="2:19" x14ac:dyDescent="0.25">
      <c r="C34" s="2"/>
      <c r="D34" s="2"/>
      <c r="E34" s="276" t="s">
        <v>207</v>
      </c>
      <c r="F34" s="2"/>
      <c r="G34" s="2"/>
      <c r="H34" s="2"/>
      <c r="I34" s="3"/>
      <c r="J34" s="4"/>
      <c r="K34" s="2"/>
      <c r="L34" s="2"/>
      <c r="M34" s="2"/>
      <c r="N34" s="2"/>
      <c r="O34" s="2"/>
    </row>
    <row r="35" spans="2:19" ht="15.75" x14ac:dyDescent="0.25">
      <c r="B35" s="81" t="s">
        <v>506</v>
      </c>
      <c r="C35" s="55" t="s">
        <v>82</v>
      </c>
      <c r="D35" s="56" t="s">
        <v>197</v>
      </c>
      <c r="E35" s="56" t="s">
        <v>19</v>
      </c>
      <c r="F35" s="247">
        <f>4400*4.8%*0.684</f>
        <v>144.46080000000003</v>
      </c>
      <c r="G35" s="247">
        <f>4400*3.4%*0.703</f>
        <v>105.1688</v>
      </c>
      <c r="H35" s="247">
        <f>3300*3.9%*0.762</f>
        <v>98.069399999999987</v>
      </c>
      <c r="I35" s="249">
        <f>3200*4.8%*0.795</f>
        <v>122.11199999999999</v>
      </c>
      <c r="J35" s="778">
        <f>288.2-J38</f>
        <v>100.898</v>
      </c>
      <c r="K35" s="623">
        <v>44.5</v>
      </c>
      <c r="L35" s="56">
        <v>0</v>
      </c>
      <c r="M35" s="56">
        <v>0</v>
      </c>
      <c r="N35" s="56">
        <v>0</v>
      </c>
      <c r="O35" s="56">
        <v>0</v>
      </c>
      <c r="P35" s="53">
        <v>0</v>
      </c>
      <c r="R35" t="s">
        <v>581</v>
      </c>
    </row>
    <row r="36" spans="2:19" ht="15.75" x14ac:dyDescent="0.25">
      <c r="B36" s="741" t="s">
        <v>507</v>
      </c>
      <c r="C36" s="34" t="s">
        <v>82</v>
      </c>
      <c r="D36" s="35" t="s">
        <v>197</v>
      </c>
      <c r="E36" s="35" t="s">
        <v>19</v>
      </c>
      <c r="F36" s="248">
        <f>1400*6.1%*0.684</f>
        <v>58.413599999999995</v>
      </c>
      <c r="G36" s="248">
        <f>1200*6.8%*0.703</f>
        <v>57.364800000000002</v>
      </c>
      <c r="H36" s="248">
        <f>480*7.7%*0.762</f>
        <v>28.163520000000002</v>
      </c>
      <c r="I36" s="39">
        <v>0</v>
      </c>
      <c r="J36" s="307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8">
        <v>0</v>
      </c>
    </row>
    <row r="37" spans="2:19" ht="15.75" x14ac:dyDescent="0.25">
      <c r="B37" s="741" t="s">
        <v>508</v>
      </c>
      <c r="C37" s="34" t="s">
        <v>82</v>
      </c>
      <c r="D37" s="35" t="s">
        <v>504</v>
      </c>
      <c r="E37" s="35" t="s">
        <v>208</v>
      </c>
      <c r="F37" s="35">
        <v>0</v>
      </c>
      <c r="G37" s="248">
        <f>500*11%*0.703</f>
        <v>38.664999999999999</v>
      </c>
      <c r="H37" s="248">
        <f>970*12.7%*0.762</f>
        <v>93.870779999999996</v>
      </c>
      <c r="I37" s="251">
        <f>1200*15.5%*0.795</f>
        <v>147.87</v>
      </c>
      <c r="J37" s="307">
        <v>0</v>
      </c>
      <c r="K37" s="248">
        <f>+K10</f>
        <v>88.480000000000018</v>
      </c>
      <c r="L37" s="248">
        <f t="shared" ref="L37:P37" si="10">+L10</f>
        <v>176.96000000000004</v>
      </c>
      <c r="M37" s="248">
        <f t="shared" si="10"/>
        <v>164.32</v>
      </c>
      <c r="N37" s="248">
        <f t="shared" si="10"/>
        <v>164.32</v>
      </c>
      <c r="O37" s="248">
        <f t="shared" si="10"/>
        <v>164.32</v>
      </c>
      <c r="P37" s="253">
        <f t="shared" si="10"/>
        <v>118.3</v>
      </c>
    </row>
    <row r="38" spans="2:19" ht="15.75" x14ac:dyDescent="0.25">
      <c r="B38" s="260" t="s">
        <v>509</v>
      </c>
      <c r="C38" s="28" t="s">
        <v>82</v>
      </c>
      <c r="D38" s="29" t="s">
        <v>199</v>
      </c>
      <c r="E38" s="29" t="s">
        <v>208</v>
      </c>
      <c r="F38" s="244">
        <f>3700*7.4%*0.684</f>
        <v>187.27920000000003</v>
      </c>
      <c r="G38" s="244">
        <f>4200*6.9%*0.703</f>
        <v>203.7294</v>
      </c>
      <c r="H38" s="244">
        <f>3900*7.3%*0.762</f>
        <v>216.94139999999999</v>
      </c>
      <c r="I38" s="254">
        <f>3800*6.9%*0.795</f>
        <v>208.44900000000004</v>
      </c>
      <c r="J38" s="777">
        <f>3100*7.6%*0.795</f>
        <v>187.30199999999999</v>
      </c>
      <c r="K38" s="244">
        <f>+K11</f>
        <v>221.20000000000002</v>
      </c>
      <c r="L38" s="244">
        <f t="shared" ref="L38:P38" si="11">+L11</f>
        <v>248.85000000000005</v>
      </c>
      <c r="M38" s="244">
        <f t="shared" si="11"/>
        <v>248.85000000000005</v>
      </c>
      <c r="N38" s="244">
        <f t="shared" si="11"/>
        <v>248.85000000000005</v>
      </c>
      <c r="O38" s="244">
        <f t="shared" si="11"/>
        <v>248.85000000000005</v>
      </c>
      <c r="P38" s="472">
        <f t="shared" si="11"/>
        <v>248.85000000000005</v>
      </c>
      <c r="R38" t="s">
        <v>505</v>
      </c>
    </row>
    <row r="39" spans="2:19" ht="15.75" x14ac:dyDescent="0.25">
      <c r="B39" s="81" t="s">
        <v>37</v>
      </c>
      <c r="C39" s="16" t="s">
        <v>82</v>
      </c>
      <c r="D39" s="17" t="s">
        <v>199</v>
      </c>
      <c r="E39" s="17" t="s">
        <v>19</v>
      </c>
      <c r="F39" s="17">
        <v>202.1</v>
      </c>
      <c r="G39" s="17">
        <v>203.3</v>
      </c>
      <c r="H39" s="17">
        <v>224.3</v>
      </c>
      <c r="I39" s="18">
        <v>272.7</v>
      </c>
      <c r="J39" s="781">
        <v>200.2</v>
      </c>
      <c r="K39" s="17">
        <v>195</v>
      </c>
      <c r="L39" s="17">
        <v>195</v>
      </c>
      <c r="M39" s="17">
        <v>195</v>
      </c>
      <c r="N39" s="17">
        <v>195</v>
      </c>
      <c r="O39" s="17">
        <v>195</v>
      </c>
      <c r="P39" s="20">
        <v>195</v>
      </c>
      <c r="R39" t="s">
        <v>513</v>
      </c>
    </row>
    <row r="40" spans="2:19" ht="16.5" thickBot="1" x14ac:dyDescent="0.3">
      <c r="B40" s="82" t="s">
        <v>38</v>
      </c>
      <c r="C40" s="34" t="s">
        <v>172</v>
      </c>
      <c r="D40" s="35" t="s">
        <v>197</v>
      </c>
      <c r="E40" s="35" t="s">
        <v>19</v>
      </c>
      <c r="F40" s="35">
        <v>514.70000000000005</v>
      </c>
      <c r="G40" s="35">
        <v>488.2</v>
      </c>
      <c r="H40" s="35">
        <v>465.7</v>
      </c>
      <c r="I40" s="39">
        <v>392.7</v>
      </c>
      <c r="J40" s="309">
        <v>16.5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8">
        <v>0</v>
      </c>
      <c r="R40" t="s">
        <v>252</v>
      </c>
      <c r="S40" t="s">
        <v>193</v>
      </c>
    </row>
    <row r="41" spans="2:19" ht="15.75" x14ac:dyDescent="0.25">
      <c r="B41" s="82" t="s">
        <v>39</v>
      </c>
      <c r="C41" s="34" t="s">
        <v>172</v>
      </c>
      <c r="D41" s="35" t="s">
        <v>199</v>
      </c>
      <c r="E41" s="35" t="s">
        <v>208</v>
      </c>
      <c r="F41" s="35">
        <v>70.400000000000006</v>
      </c>
      <c r="G41" s="35">
        <v>88.4</v>
      </c>
      <c r="H41" s="35">
        <v>83.5</v>
      </c>
      <c r="I41" s="39">
        <v>92.1</v>
      </c>
      <c r="J41" s="311">
        <v>119.6</v>
      </c>
      <c r="K41" s="624">
        <v>69</v>
      </c>
      <c r="L41" s="35">
        <v>70.900000000000006</v>
      </c>
      <c r="M41" s="35">
        <v>66.900000000000006</v>
      </c>
      <c r="N41" s="35">
        <v>63</v>
      </c>
      <c r="O41" s="35">
        <v>63</v>
      </c>
      <c r="P41" s="38">
        <v>59.1</v>
      </c>
      <c r="R41" t="s">
        <v>256</v>
      </c>
      <c r="S41" t="s">
        <v>475</v>
      </c>
    </row>
    <row r="42" spans="2:19" ht="16.5" thickBot="1" x14ac:dyDescent="0.3">
      <c r="B42" s="82" t="s">
        <v>40</v>
      </c>
      <c r="C42" s="306" t="s">
        <v>192</v>
      </c>
      <c r="D42" s="35" t="s">
        <v>271</v>
      </c>
      <c r="E42" s="35" t="s">
        <v>208</v>
      </c>
      <c r="F42" s="35">
        <v>37.4</v>
      </c>
      <c r="G42" s="35">
        <v>23.6</v>
      </c>
      <c r="H42" s="35">
        <v>37.9</v>
      </c>
      <c r="I42" s="39">
        <v>55.1</v>
      </c>
      <c r="J42" s="312" t="s">
        <v>36</v>
      </c>
      <c r="K42" s="308">
        <v>39.200000000000003</v>
      </c>
      <c r="L42" s="35">
        <v>39.200000000000003</v>
      </c>
      <c r="M42" s="35">
        <v>39.200000000000003</v>
      </c>
      <c r="N42" s="35">
        <v>39.200000000000003</v>
      </c>
      <c r="O42" s="625">
        <v>39.200000000000003</v>
      </c>
      <c r="P42" s="38">
        <v>0</v>
      </c>
      <c r="R42" t="s">
        <v>255</v>
      </c>
    </row>
    <row r="43" spans="2:19" ht="15.75" x14ac:dyDescent="0.25">
      <c r="B43" s="82" t="s">
        <v>41</v>
      </c>
      <c r="C43" s="34" t="s">
        <v>172</v>
      </c>
      <c r="D43" s="35" t="s">
        <v>272</v>
      </c>
      <c r="E43" s="35" t="s">
        <v>208</v>
      </c>
      <c r="F43" s="35">
        <v>0</v>
      </c>
      <c r="G43" s="35">
        <v>0</v>
      </c>
      <c r="H43" s="35">
        <v>0</v>
      </c>
      <c r="I43" s="39">
        <v>0</v>
      </c>
      <c r="J43" s="310">
        <v>0</v>
      </c>
      <c r="K43" s="35">
        <v>0</v>
      </c>
      <c r="L43" s="35">
        <v>42</v>
      </c>
      <c r="M43" s="35">
        <v>125.6</v>
      </c>
      <c r="N43" s="35">
        <v>167.4</v>
      </c>
      <c r="O43" s="35">
        <v>172.7</v>
      </c>
      <c r="P43" s="38">
        <v>177.9</v>
      </c>
      <c r="R43" t="s">
        <v>254</v>
      </c>
    </row>
    <row r="44" spans="2:19" ht="15.75" x14ac:dyDescent="0.25">
      <c r="B44" s="82" t="s">
        <v>42</v>
      </c>
      <c r="C44" s="34" t="s">
        <v>173</v>
      </c>
      <c r="D44" s="35" t="s">
        <v>199</v>
      </c>
      <c r="E44" s="35" t="s">
        <v>208</v>
      </c>
      <c r="F44" s="35">
        <v>67.900000000000006</v>
      </c>
      <c r="G44" s="35">
        <v>67.3</v>
      </c>
      <c r="H44" s="35">
        <v>69.599999999999994</v>
      </c>
      <c r="I44" s="39">
        <v>83.9</v>
      </c>
      <c r="J44" s="269">
        <v>93.3</v>
      </c>
      <c r="K44" s="35">
        <v>91.2</v>
      </c>
      <c r="L44" s="35">
        <v>99.9</v>
      </c>
      <c r="M44" s="35">
        <v>102.2</v>
      </c>
      <c r="N44" s="35">
        <v>96</v>
      </c>
      <c r="O44" s="35">
        <v>89.2</v>
      </c>
      <c r="P44" s="38">
        <v>80.400000000000006</v>
      </c>
      <c r="R44" t="s">
        <v>253</v>
      </c>
    </row>
    <row r="45" spans="2:19" ht="15.75" x14ac:dyDescent="0.25">
      <c r="B45" s="82" t="s">
        <v>43</v>
      </c>
      <c r="C45" s="34" t="s">
        <v>174</v>
      </c>
      <c r="D45" s="35" t="s">
        <v>199</v>
      </c>
      <c r="E45" s="35" t="s">
        <v>208</v>
      </c>
      <c r="F45" s="322">
        <v>40</v>
      </c>
      <c r="G45" s="322">
        <v>40</v>
      </c>
      <c r="H45" s="322">
        <v>40</v>
      </c>
      <c r="I45" s="39">
        <v>40</v>
      </c>
      <c r="J45" s="40">
        <v>11.3</v>
      </c>
      <c r="K45" s="35">
        <v>22.7</v>
      </c>
      <c r="L45" s="35">
        <v>39.700000000000003</v>
      </c>
      <c r="M45" s="35">
        <v>39.700000000000003</v>
      </c>
      <c r="N45" s="35">
        <v>0</v>
      </c>
      <c r="O45" s="35">
        <v>0</v>
      </c>
      <c r="P45" s="38">
        <v>0</v>
      </c>
    </row>
    <row r="46" spans="2:19" ht="16.5" thickBot="1" x14ac:dyDescent="0.3">
      <c r="B46" s="82" t="s">
        <v>46</v>
      </c>
      <c r="C46" s="34" t="s">
        <v>176</v>
      </c>
      <c r="D46" s="35" t="s">
        <v>271</v>
      </c>
      <c r="E46" s="39" t="s">
        <v>208</v>
      </c>
      <c r="F46" s="804">
        <v>16.5</v>
      </c>
      <c r="G46" s="804">
        <v>33.799999999999997</v>
      </c>
      <c r="H46" s="804">
        <v>41.1</v>
      </c>
      <c r="I46" s="324">
        <v>42</v>
      </c>
      <c r="J46" s="307">
        <v>37.299999999999997</v>
      </c>
      <c r="K46" s="313">
        <v>41</v>
      </c>
      <c r="L46" s="285">
        <v>30</v>
      </c>
      <c r="M46" s="285">
        <v>20</v>
      </c>
      <c r="N46" s="35">
        <v>0</v>
      </c>
      <c r="O46" s="35">
        <v>0</v>
      </c>
      <c r="P46" s="38">
        <v>0</v>
      </c>
      <c r="R46" t="s">
        <v>258</v>
      </c>
    </row>
    <row r="47" spans="2:19" ht="15.75" x14ac:dyDescent="0.25">
      <c r="B47" s="82" t="s">
        <v>44</v>
      </c>
      <c r="C47" s="34" t="s">
        <v>174</v>
      </c>
      <c r="D47" s="35" t="s">
        <v>199</v>
      </c>
      <c r="E47" s="35" t="s">
        <v>208</v>
      </c>
      <c r="F47" s="333"/>
      <c r="G47" s="334"/>
      <c r="H47" s="335"/>
      <c r="I47" s="38">
        <v>34</v>
      </c>
      <c r="J47" s="40">
        <v>34</v>
      </c>
      <c r="K47" s="35">
        <v>34</v>
      </c>
      <c r="L47" s="35">
        <v>34</v>
      </c>
      <c r="M47" s="35">
        <v>34</v>
      </c>
      <c r="N47" s="35">
        <v>34</v>
      </c>
      <c r="O47" s="35">
        <v>34</v>
      </c>
      <c r="P47" s="38">
        <v>34</v>
      </c>
      <c r="R47" t="s">
        <v>519</v>
      </c>
    </row>
    <row r="48" spans="2:19" ht="15.75" x14ac:dyDescent="0.25">
      <c r="B48" s="82" t="s">
        <v>259</v>
      </c>
      <c r="C48" s="28" t="s">
        <v>175</v>
      </c>
      <c r="D48" s="29" t="s">
        <v>199</v>
      </c>
      <c r="E48" s="35" t="s">
        <v>208</v>
      </c>
      <c r="F48" s="325"/>
      <c r="G48" s="262"/>
      <c r="H48" s="326"/>
      <c r="I48" s="60">
        <v>50</v>
      </c>
      <c r="J48" s="31">
        <v>38</v>
      </c>
      <c r="K48" s="29">
        <v>35</v>
      </c>
      <c r="L48" s="29">
        <v>35</v>
      </c>
      <c r="M48" s="29">
        <v>35</v>
      </c>
      <c r="N48" s="29">
        <v>35</v>
      </c>
      <c r="O48" s="29">
        <v>35</v>
      </c>
      <c r="P48" s="32">
        <v>35</v>
      </c>
    </row>
    <row r="49" spans="2:29" ht="15.75" x14ac:dyDescent="0.25">
      <c r="B49" s="246" t="s">
        <v>47</v>
      </c>
      <c r="C49" s="34" t="s">
        <v>177</v>
      </c>
      <c r="D49" s="336" t="s">
        <v>271</v>
      </c>
      <c r="E49" s="35" t="s">
        <v>208</v>
      </c>
      <c r="F49" s="330">
        <v>201.6</v>
      </c>
      <c r="G49" s="331">
        <v>174.3</v>
      </c>
      <c r="H49" s="332">
        <v>161.9</v>
      </c>
      <c r="I49" s="621">
        <v>7</v>
      </c>
      <c r="J49" s="307">
        <v>8.1999999999999993</v>
      </c>
      <c r="K49" s="35">
        <v>9</v>
      </c>
      <c r="L49" s="35">
        <v>9</v>
      </c>
      <c r="M49" s="35">
        <v>9</v>
      </c>
      <c r="N49" s="35">
        <v>9</v>
      </c>
      <c r="O49" s="35">
        <v>9</v>
      </c>
      <c r="P49" s="286">
        <v>0</v>
      </c>
      <c r="S49" t="s">
        <v>261</v>
      </c>
    </row>
    <row r="50" spans="2:29" ht="16.5" thickBot="1" x14ac:dyDescent="0.3">
      <c r="B50" s="82" t="s">
        <v>48</v>
      </c>
      <c r="C50" s="28"/>
      <c r="D50" s="29" t="s">
        <v>197</v>
      </c>
      <c r="E50" s="62"/>
      <c r="F50" s="327"/>
      <c r="G50" s="328"/>
      <c r="H50" s="329"/>
      <c r="I50" s="807">
        <v>0</v>
      </c>
      <c r="J50" s="310">
        <v>0</v>
      </c>
      <c r="K50" s="299">
        <v>0</v>
      </c>
      <c r="L50" s="299">
        <v>0</v>
      </c>
      <c r="M50" s="299">
        <v>0</v>
      </c>
      <c r="N50" s="299">
        <v>0</v>
      </c>
      <c r="O50" s="299">
        <v>0</v>
      </c>
      <c r="P50" s="808">
        <v>0</v>
      </c>
    </row>
    <row r="51" spans="2:29" ht="15.75" x14ac:dyDescent="0.25">
      <c r="B51" s="316" t="s">
        <v>260</v>
      </c>
      <c r="C51" s="220" t="s">
        <v>175</v>
      </c>
      <c r="D51" s="322" t="s">
        <v>330</v>
      </c>
      <c r="E51" s="35" t="s">
        <v>208</v>
      </c>
      <c r="F51" s="805">
        <v>0</v>
      </c>
      <c r="G51" s="42">
        <v>0</v>
      </c>
      <c r="H51" s="806">
        <v>0</v>
      </c>
      <c r="I51" s="734">
        <v>0</v>
      </c>
      <c r="J51" s="314">
        <v>0</v>
      </c>
      <c r="K51" s="281">
        <v>0</v>
      </c>
      <c r="L51" s="281">
        <v>30</v>
      </c>
      <c r="M51" s="281">
        <v>30</v>
      </c>
      <c r="N51" s="281">
        <v>30</v>
      </c>
      <c r="O51" s="281">
        <v>30</v>
      </c>
      <c r="P51" s="315">
        <v>30</v>
      </c>
      <c r="R51" t="s">
        <v>265</v>
      </c>
    </row>
    <row r="52" spans="2:29" ht="15.75" x14ac:dyDescent="0.25">
      <c r="B52" s="318" t="s">
        <v>269</v>
      </c>
      <c r="C52" s="317" t="s">
        <v>268</v>
      </c>
      <c r="D52" s="29" t="s">
        <v>218</v>
      </c>
      <c r="E52" s="35" t="s">
        <v>208</v>
      </c>
      <c r="F52" s="323">
        <v>0</v>
      </c>
      <c r="G52" s="323">
        <v>0</v>
      </c>
      <c r="H52" s="323">
        <v>0</v>
      </c>
      <c r="I52" s="39">
        <v>0</v>
      </c>
      <c r="J52" s="339">
        <v>0</v>
      </c>
      <c r="K52" s="285">
        <v>5</v>
      </c>
      <c r="L52" s="285">
        <v>15</v>
      </c>
      <c r="M52" s="285">
        <v>20</v>
      </c>
      <c r="N52" s="285">
        <v>25</v>
      </c>
      <c r="O52" s="285">
        <v>25</v>
      </c>
      <c r="P52" s="286">
        <v>25</v>
      </c>
      <c r="R52" t="s">
        <v>274</v>
      </c>
      <c r="S52" t="s">
        <v>282</v>
      </c>
      <c r="AC52" t="s">
        <v>283</v>
      </c>
    </row>
    <row r="53" spans="2:29" ht="16.5" thickBot="1" x14ac:dyDescent="0.3">
      <c r="B53" s="317" t="s">
        <v>262</v>
      </c>
      <c r="C53" s="785" t="s">
        <v>263</v>
      </c>
      <c r="D53" s="786" t="s">
        <v>330</v>
      </c>
      <c r="E53" s="35" t="s">
        <v>208</v>
      </c>
      <c r="F53" s="43"/>
      <c r="G53" s="43"/>
      <c r="H53" s="43"/>
      <c r="I53" s="30">
        <v>0</v>
      </c>
      <c r="J53" s="314">
        <v>0</v>
      </c>
      <c r="K53" s="281">
        <v>0</v>
      </c>
      <c r="L53" s="281">
        <v>10</v>
      </c>
      <c r="M53" s="281">
        <v>15</v>
      </c>
      <c r="N53" s="281">
        <v>18</v>
      </c>
      <c r="O53" s="281">
        <v>18</v>
      </c>
      <c r="P53" s="284">
        <v>18</v>
      </c>
      <c r="R53" t="s">
        <v>273</v>
      </c>
    </row>
    <row r="54" spans="2:29" ht="15.75" x14ac:dyDescent="0.25">
      <c r="B54" s="50" t="s">
        <v>15</v>
      </c>
      <c r="C54" s="44"/>
      <c r="D54" s="44"/>
      <c r="E54" s="44"/>
      <c r="F54" s="473">
        <v>1541</v>
      </c>
      <c r="G54" s="473">
        <f>SUM(G35:G49)</f>
        <v>1523.828</v>
      </c>
      <c r="H54" s="473">
        <f>SUM(H35:H49)</f>
        <v>1561.0451</v>
      </c>
      <c r="I54" s="779">
        <f t="shared" ref="I54:P54" si="12">SUM(I35:I53)</f>
        <v>1547.931</v>
      </c>
      <c r="J54" s="780">
        <f t="shared" si="12"/>
        <v>846.59999999999991</v>
      </c>
      <c r="K54" s="473">
        <f t="shared" si="12"/>
        <v>895.2800000000002</v>
      </c>
      <c r="L54" s="473">
        <f t="shared" si="12"/>
        <v>1075.5100000000002</v>
      </c>
      <c r="M54" s="473">
        <f t="shared" si="12"/>
        <v>1144.7700000000002</v>
      </c>
      <c r="N54" s="473">
        <f t="shared" si="12"/>
        <v>1124.77</v>
      </c>
      <c r="O54" s="473">
        <f t="shared" si="12"/>
        <v>1123.2700000000002</v>
      </c>
      <c r="P54" s="779">
        <f t="shared" si="12"/>
        <v>1021.5500000000001</v>
      </c>
      <c r="R54" t="s">
        <v>270</v>
      </c>
      <c r="S54" t="s">
        <v>267</v>
      </c>
    </row>
    <row r="55" spans="2:29" ht="15.75" x14ac:dyDescent="0.25">
      <c r="B55" s="27"/>
      <c r="C55" s="28"/>
      <c r="D55" s="28"/>
      <c r="E55" s="28"/>
      <c r="F55" s="28"/>
      <c r="G55" s="28"/>
      <c r="H55" s="28"/>
      <c r="I55" s="45"/>
      <c r="J55" s="46"/>
      <c r="K55" s="28"/>
      <c r="L55" s="28"/>
      <c r="M55" s="28"/>
      <c r="N55" s="28"/>
      <c r="O55" s="28"/>
      <c r="P55" s="45"/>
      <c r="R55" t="s">
        <v>266</v>
      </c>
      <c r="S55" t="s">
        <v>264</v>
      </c>
    </row>
    <row r="56" spans="2:29" ht="15.75" x14ac:dyDescent="0.25">
      <c r="B56" s="290" t="s">
        <v>257</v>
      </c>
    </row>
    <row r="58" spans="2:29" ht="18.75" x14ac:dyDescent="0.3">
      <c r="B58" s="263" t="s">
        <v>49</v>
      </c>
      <c r="J58" t="s">
        <v>96</v>
      </c>
      <c r="R58" s="280" t="s">
        <v>528</v>
      </c>
    </row>
    <row r="59" spans="2:29" x14ac:dyDescent="0.25">
      <c r="B59" t="s">
        <v>50</v>
      </c>
      <c r="R59" s="263" t="s">
        <v>275</v>
      </c>
    </row>
    <row r="60" spans="2:29" x14ac:dyDescent="0.25">
      <c r="B60" t="s">
        <v>51</v>
      </c>
      <c r="R60" t="s">
        <v>286</v>
      </c>
      <c r="S60" t="s">
        <v>276</v>
      </c>
    </row>
    <row r="62" spans="2:29" ht="18.75" x14ac:dyDescent="0.3">
      <c r="B62" s="280" t="s">
        <v>211</v>
      </c>
      <c r="D62" s="166"/>
      <c r="E62" s="166"/>
      <c r="R62" s="263" t="s">
        <v>277</v>
      </c>
    </row>
    <row r="63" spans="2:29" x14ac:dyDescent="0.25">
      <c r="D63" s="166"/>
      <c r="E63" s="166"/>
      <c r="R63" t="s">
        <v>288</v>
      </c>
      <c r="S63" t="s">
        <v>281</v>
      </c>
    </row>
    <row r="64" spans="2:29" ht="15.75" x14ac:dyDescent="0.25">
      <c r="B64" t="s">
        <v>212</v>
      </c>
      <c r="C64" s="296">
        <v>51.6</v>
      </c>
      <c r="D64" s="166"/>
      <c r="E64" s="11" t="s">
        <v>209</v>
      </c>
      <c r="F64" t="s">
        <v>249</v>
      </c>
    </row>
    <row r="65" spans="2:29" ht="15.75" x14ac:dyDescent="0.25">
      <c r="B65" t="s">
        <v>213</v>
      </c>
      <c r="C65" s="297">
        <v>49</v>
      </c>
      <c r="D65" s="166"/>
      <c r="E65" s="11" t="s">
        <v>201</v>
      </c>
      <c r="F65" t="s">
        <v>292</v>
      </c>
      <c r="R65" s="263" t="s">
        <v>278</v>
      </c>
    </row>
    <row r="66" spans="2:29" ht="15.75" x14ac:dyDescent="0.25">
      <c r="B66" t="s">
        <v>302</v>
      </c>
      <c r="C66" s="298">
        <v>36</v>
      </c>
      <c r="D66" s="166"/>
      <c r="E66" s="166"/>
      <c r="R66" t="s">
        <v>293</v>
      </c>
      <c r="S66" t="s">
        <v>280</v>
      </c>
    </row>
    <row r="67" spans="2:29" x14ac:dyDescent="0.25">
      <c r="D67" s="166"/>
      <c r="E67" s="166"/>
    </row>
    <row r="68" spans="2:29" ht="15.75" x14ac:dyDescent="0.25">
      <c r="D68" s="166"/>
      <c r="E68" s="6" t="s">
        <v>206</v>
      </c>
      <c r="F68" s="6">
        <v>2012</v>
      </c>
      <c r="G68" s="6">
        <f>+F68+1</f>
        <v>2013</v>
      </c>
      <c r="H68" s="6">
        <f t="shared" ref="H68:P68" si="13">+G68+1</f>
        <v>2014</v>
      </c>
      <c r="I68" s="7">
        <f>+H68+1</f>
        <v>2015</v>
      </c>
      <c r="J68" s="8">
        <f>+I68+1</f>
        <v>2016</v>
      </c>
      <c r="K68" s="6">
        <f t="shared" si="13"/>
        <v>2017</v>
      </c>
      <c r="L68" s="6">
        <f t="shared" si="13"/>
        <v>2018</v>
      </c>
      <c r="M68" s="6">
        <f t="shared" si="13"/>
        <v>2019</v>
      </c>
      <c r="N68" s="6">
        <f t="shared" si="13"/>
        <v>2020</v>
      </c>
      <c r="O68" s="6">
        <f t="shared" si="13"/>
        <v>2021</v>
      </c>
      <c r="P68" s="6">
        <f t="shared" si="13"/>
        <v>2022</v>
      </c>
      <c r="R68" s="263" t="s">
        <v>279</v>
      </c>
    </row>
    <row r="69" spans="2:29" x14ac:dyDescent="0.25">
      <c r="D69" s="166"/>
      <c r="E69" s="276" t="s">
        <v>207</v>
      </c>
      <c r="F69" s="2"/>
      <c r="G69" s="2"/>
      <c r="H69" s="2"/>
      <c r="I69" s="3"/>
      <c r="J69" s="4"/>
      <c r="K69" s="2"/>
      <c r="L69" s="2"/>
      <c r="M69" s="2"/>
      <c r="N69" s="2"/>
      <c r="O69" s="2"/>
      <c r="P69" s="2"/>
      <c r="R69" t="s">
        <v>284</v>
      </c>
      <c r="S69" t="s">
        <v>287</v>
      </c>
    </row>
    <row r="70" spans="2:29" ht="15.75" x14ac:dyDescent="0.25">
      <c r="D70" s="166"/>
      <c r="E70" s="11" t="s">
        <v>208</v>
      </c>
      <c r="F70" s="463">
        <f>+F54-F71</f>
        <v>621.32559999999989</v>
      </c>
      <c r="G70" s="463">
        <f t="shared" ref="G70:P70" si="14">+G54-G71</f>
        <v>669.79439999999988</v>
      </c>
      <c r="H70" s="463">
        <f t="shared" si="14"/>
        <v>744.81218000000013</v>
      </c>
      <c r="I70" s="464">
        <f t="shared" si="14"/>
        <v>760.4190000000001</v>
      </c>
      <c r="J70" s="465">
        <f t="shared" si="14"/>
        <v>529.00199999999995</v>
      </c>
      <c r="K70" s="463">
        <f t="shared" si="14"/>
        <v>655.7800000000002</v>
      </c>
      <c r="L70" s="463">
        <f t="shared" si="14"/>
        <v>880.51000000000022</v>
      </c>
      <c r="M70" s="463">
        <f t="shared" si="14"/>
        <v>949.77000000000021</v>
      </c>
      <c r="N70" s="463">
        <f t="shared" si="14"/>
        <v>929.77</v>
      </c>
      <c r="O70" s="463">
        <f t="shared" si="14"/>
        <v>928.27000000000021</v>
      </c>
      <c r="P70" s="463">
        <f t="shared" si="14"/>
        <v>826.55000000000007</v>
      </c>
    </row>
    <row r="71" spans="2:29" ht="15.75" x14ac:dyDescent="0.25">
      <c r="D71" s="166"/>
      <c r="E71" s="11" t="s">
        <v>19</v>
      </c>
      <c r="F71" s="463">
        <f t="shared" ref="F71:P71" si="15">+F40+F39+F36+F35</f>
        <v>919.67440000000011</v>
      </c>
      <c r="G71" s="463">
        <f t="shared" si="15"/>
        <v>854.03360000000009</v>
      </c>
      <c r="H71" s="463">
        <f t="shared" si="15"/>
        <v>816.23291999999992</v>
      </c>
      <c r="I71" s="464">
        <f t="shared" si="15"/>
        <v>787.51199999999994</v>
      </c>
      <c r="J71" s="465">
        <f t="shared" si="15"/>
        <v>317.59799999999996</v>
      </c>
      <c r="K71" s="463">
        <f t="shared" si="15"/>
        <v>239.5</v>
      </c>
      <c r="L71" s="463">
        <f t="shared" si="15"/>
        <v>195</v>
      </c>
      <c r="M71" s="463">
        <f t="shared" si="15"/>
        <v>195</v>
      </c>
      <c r="N71" s="463">
        <f t="shared" si="15"/>
        <v>195</v>
      </c>
      <c r="O71" s="463">
        <f t="shared" si="15"/>
        <v>195</v>
      </c>
      <c r="P71" s="463">
        <f t="shared" si="15"/>
        <v>195</v>
      </c>
      <c r="R71" s="263" t="s">
        <v>285</v>
      </c>
    </row>
    <row r="72" spans="2:29" x14ac:dyDescent="0.25">
      <c r="R72" t="s">
        <v>289</v>
      </c>
      <c r="S72" t="s">
        <v>290</v>
      </c>
      <c r="AC72" t="s">
        <v>291</v>
      </c>
    </row>
    <row r="78" spans="2:29" x14ac:dyDescent="0.25">
      <c r="R78" s="389" t="s">
        <v>39</v>
      </c>
    </row>
    <row r="79" spans="2:29" x14ac:dyDescent="0.25">
      <c r="R79" t="s">
        <v>469</v>
      </c>
    </row>
    <row r="80" spans="2:29" x14ac:dyDescent="0.25">
      <c r="R80" t="s">
        <v>470</v>
      </c>
    </row>
    <row r="81" spans="18:18" x14ac:dyDescent="0.25">
      <c r="R81" t="s">
        <v>474</v>
      </c>
    </row>
    <row r="83" spans="18:18" x14ac:dyDescent="0.25">
      <c r="R83" s="389" t="s">
        <v>40</v>
      </c>
    </row>
    <row r="84" spans="18:18" x14ac:dyDescent="0.25">
      <c r="R84" t="s">
        <v>472</v>
      </c>
    </row>
    <row r="85" spans="18:18" x14ac:dyDescent="0.25">
      <c r="R85" t="s">
        <v>471</v>
      </c>
    </row>
    <row r="86" spans="18:18" x14ac:dyDescent="0.25">
      <c r="R86" t="s">
        <v>473</v>
      </c>
    </row>
    <row r="88" spans="18:18" x14ac:dyDescent="0.25">
      <c r="R88" t="s">
        <v>476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18"/>
  <sheetViews>
    <sheetView workbookViewId="0"/>
  </sheetViews>
  <sheetFormatPr defaultRowHeight="15" x14ac:dyDescent="0.25"/>
  <cols>
    <col min="2" max="2" width="30.140625" customWidth="1"/>
    <col min="3" max="3" width="30.42578125" customWidth="1"/>
    <col min="4" max="5" width="16.28515625" customWidth="1"/>
    <col min="6" max="16" width="10.140625" bestFit="1" customWidth="1"/>
    <col min="17" max="17" width="10.140625" customWidth="1"/>
    <col min="18" max="18" width="18.42578125" customWidth="1"/>
    <col min="19" max="19" width="120.5703125" customWidth="1"/>
    <col min="22" max="22" width="19.28515625" customWidth="1"/>
  </cols>
  <sheetData>
    <row r="1" spans="2:17" ht="18.75" x14ac:dyDescent="0.3">
      <c r="B1" s="266" t="s">
        <v>554</v>
      </c>
      <c r="H1" s="266" t="s">
        <v>562</v>
      </c>
    </row>
    <row r="4" spans="2:17" ht="18.75" x14ac:dyDescent="0.3">
      <c r="B4" s="266" t="s">
        <v>315</v>
      </c>
    </row>
    <row r="5" spans="2:17" x14ac:dyDescent="0.25">
      <c r="B5" s="263"/>
    </row>
    <row r="6" spans="2:17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125">
        <v>2012</v>
      </c>
      <c r="G6" s="125">
        <v>2013</v>
      </c>
      <c r="H6" s="125">
        <v>2014</v>
      </c>
      <c r="I6" s="126">
        <v>2015</v>
      </c>
      <c r="J6" s="343">
        <v>2016</v>
      </c>
      <c r="K6" s="125">
        <v>2017</v>
      </c>
      <c r="L6" s="125">
        <v>2018</v>
      </c>
      <c r="M6" s="125">
        <v>2019</v>
      </c>
      <c r="N6" s="125">
        <v>2020</v>
      </c>
      <c r="O6" s="125">
        <v>2021</v>
      </c>
      <c r="P6" s="126">
        <v>2022</v>
      </c>
      <c r="Q6" s="373"/>
    </row>
    <row r="7" spans="2:17" ht="16.5" thickBot="1" x14ac:dyDescent="0.3">
      <c r="B7" s="27"/>
      <c r="C7" s="6"/>
      <c r="D7" s="6"/>
      <c r="E7" s="276" t="s">
        <v>207</v>
      </c>
      <c r="F7" s="125"/>
      <c r="G7" s="125"/>
      <c r="H7" s="125"/>
      <c r="I7" s="126"/>
      <c r="J7" s="343"/>
      <c r="K7" s="125"/>
      <c r="L7" s="125"/>
      <c r="M7" s="125"/>
      <c r="N7" s="125"/>
      <c r="O7" s="125"/>
      <c r="P7" s="126"/>
      <c r="Q7" s="373"/>
    </row>
    <row r="8" spans="2:17" ht="15.75" x14ac:dyDescent="0.25">
      <c r="B8" s="91" t="s">
        <v>52</v>
      </c>
      <c r="C8" s="238" t="s">
        <v>160</v>
      </c>
      <c r="D8" s="342" t="s">
        <v>199</v>
      </c>
      <c r="E8" s="342" t="s">
        <v>19</v>
      </c>
      <c r="F8" s="127">
        <f t="shared" ref="F8:P8" si="0">+F41/1000</f>
        <v>219</v>
      </c>
      <c r="G8" s="127">
        <f t="shared" si="0"/>
        <v>260.39999999999998</v>
      </c>
      <c r="H8" s="127">
        <f t="shared" si="0"/>
        <v>211</v>
      </c>
      <c r="I8" s="128">
        <f t="shared" si="0"/>
        <v>235</v>
      </c>
      <c r="J8" s="344">
        <f t="shared" si="0"/>
        <v>220</v>
      </c>
      <c r="K8" s="127">
        <f t="shared" si="0"/>
        <v>350</v>
      </c>
      <c r="L8" s="127">
        <f t="shared" si="0"/>
        <v>350</v>
      </c>
      <c r="M8" s="127">
        <f t="shared" si="0"/>
        <v>350</v>
      </c>
      <c r="N8" s="127">
        <f t="shared" si="0"/>
        <v>376</v>
      </c>
      <c r="O8" s="127">
        <f t="shared" si="0"/>
        <v>376</v>
      </c>
      <c r="P8" s="128">
        <f t="shared" si="0"/>
        <v>376</v>
      </c>
      <c r="Q8" s="374"/>
    </row>
    <row r="9" spans="2:17" ht="15.75" x14ac:dyDescent="0.25">
      <c r="B9" s="353" t="s">
        <v>53</v>
      </c>
      <c r="C9" s="55" t="s">
        <v>148</v>
      </c>
      <c r="D9" s="56" t="s">
        <v>199</v>
      </c>
      <c r="E9" s="17" t="s">
        <v>208</v>
      </c>
      <c r="F9" s="211">
        <f t="shared" ref="F9:P9" si="1">+F42/1000</f>
        <v>108</v>
      </c>
      <c r="G9" s="211">
        <f t="shared" si="1"/>
        <v>155</v>
      </c>
      <c r="H9" s="211">
        <f t="shared" si="1"/>
        <v>167</v>
      </c>
      <c r="I9" s="212">
        <f t="shared" si="1"/>
        <v>177</v>
      </c>
      <c r="J9" s="354">
        <f t="shared" si="1"/>
        <v>185</v>
      </c>
      <c r="K9" s="211">
        <f t="shared" si="1"/>
        <v>180</v>
      </c>
      <c r="L9" s="211">
        <f t="shared" si="1"/>
        <v>175</v>
      </c>
      <c r="M9" s="211">
        <f t="shared" si="1"/>
        <v>175</v>
      </c>
      <c r="N9" s="211">
        <f t="shared" si="1"/>
        <v>175</v>
      </c>
      <c r="O9" s="211">
        <f t="shared" si="1"/>
        <v>175</v>
      </c>
      <c r="P9" s="212">
        <f t="shared" si="1"/>
        <v>175</v>
      </c>
      <c r="Q9" s="374"/>
    </row>
    <row r="10" spans="2:17" ht="15.75" x14ac:dyDescent="0.25">
      <c r="B10" s="124" t="s">
        <v>54</v>
      </c>
      <c r="C10" s="34" t="s">
        <v>148</v>
      </c>
      <c r="D10" s="35" t="s">
        <v>199</v>
      </c>
      <c r="E10" s="35" t="s">
        <v>208</v>
      </c>
      <c r="F10" s="129">
        <f t="shared" ref="F10:P10" si="2">+F43/1000</f>
        <v>70.7</v>
      </c>
      <c r="G10" s="129">
        <f t="shared" si="2"/>
        <v>61.7</v>
      </c>
      <c r="H10" s="129">
        <f t="shared" si="2"/>
        <v>64.900000000000006</v>
      </c>
      <c r="I10" s="130">
        <f t="shared" si="2"/>
        <v>61.7</v>
      </c>
      <c r="J10" s="345">
        <f t="shared" si="2"/>
        <v>65</v>
      </c>
      <c r="K10" s="129">
        <f t="shared" si="2"/>
        <v>65</v>
      </c>
      <c r="L10" s="129">
        <f t="shared" si="2"/>
        <v>65</v>
      </c>
      <c r="M10" s="129">
        <f t="shared" si="2"/>
        <v>65</v>
      </c>
      <c r="N10" s="129">
        <f t="shared" si="2"/>
        <v>65</v>
      </c>
      <c r="O10" s="129">
        <f t="shared" si="2"/>
        <v>65</v>
      </c>
      <c r="P10" s="130">
        <f t="shared" si="2"/>
        <v>65</v>
      </c>
      <c r="Q10" s="374"/>
    </row>
    <row r="11" spans="2:17" ht="15.75" x14ac:dyDescent="0.25">
      <c r="B11" s="213" t="s">
        <v>55</v>
      </c>
      <c r="C11" s="75" t="s">
        <v>148</v>
      </c>
      <c r="D11" s="76" t="s">
        <v>199</v>
      </c>
      <c r="E11" s="76" t="s">
        <v>208</v>
      </c>
      <c r="F11" s="218">
        <f t="shared" ref="F11:P11" si="3">+F44/1000</f>
        <v>44</v>
      </c>
      <c r="G11" s="218">
        <f t="shared" si="3"/>
        <v>44.3</v>
      </c>
      <c r="H11" s="218">
        <f t="shared" si="3"/>
        <v>37.9</v>
      </c>
      <c r="I11" s="219">
        <f t="shared" si="3"/>
        <v>30.3</v>
      </c>
      <c r="J11" s="355">
        <f t="shared" si="3"/>
        <v>35</v>
      </c>
      <c r="K11" s="218">
        <f t="shared" si="3"/>
        <v>40</v>
      </c>
      <c r="L11" s="218">
        <f t="shared" si="3"/>
        <v>45</v>
      </c>
      <c r="M11" s="218">
        <f t="shared" si="3"/>
        <v>45</v>
      </c>
      <c r="N11" s="218">
        <f t="shared" si="3"/>
        <v>45</v>
      </c>
      <c r="O11" s="218">
        <f t="shared" si="3"/>
        <v>45</v>
      </c>
      <c r="P11" s="219">
        <f t="shared" si="3"/>
        <v>45</v>
      </c>
      <c r="Q11" s="374"/>
    </row>
    <row r="12" spans="2:17" ht="15.75" x14ac:dyDescent="0.25">
      <c r="B12" s="217" t="s">
        <v>56</v>
      </c>
      <c r="C12" s="72" t="s">
        <v>82</v>
      </c>
      <c r="D12" s="395" t="s">
        <v>318</v>
      </c>
      <c r="E12" s="299" t="s">
        <v>208</v>
      </c>
      <c r="F12" s="207">
        <f t="shared" ref="F12:P12" si="4">+F45/1000</f>
        <v>87.617000000000004</v>
      </c>
      <c r="G12" s="207">
        <f t="shared" si="4"/>
        <v>81.539000000000001</v>
      </c>
      <c r="H12" s="207">
        <f t="shared" si="4"/>
        <v>85.037000000000006</v>
      </c>
      <c r="I12" s="208">
        <f t="shared" si="4"/>
        <v>77.628</v>
      </c>
      <c r="J12" s="352">
        <f t="shared" si="4"/>
        <v>0</v>
      </c>
      <c r="K12" s="207">
        <f t="shared" si="4"/>
        <v>0</v>
      </c>
      <c r="L12" s="207">
        <f t="shared" si="4"/>
        <v>0</v>
      </c>
      <c r="M12" s="207">
        <f t="shared" si="4"/>
        <v>0</v>
      </c>
      <c r="N12" s="207">
        <f t="shared" si="4"/>
        <v>0</v>
      </c>
      <c r="O12" s="207">
        <f t="shared" si="4"/>
        <v>0</v>
      </c>
      <c r="P12" s="208">
        <f t="shared" si="4"/>
        <v>0</v>
      </c>
      <c r="Q12" s="374"/>
    </row>
    <row r="13" spans="2:17" ht="15.75" x14ac:dyDescent="0.25">
      <c r="B13" s="123" t="s">
        <v>57</v>
      </c>
      <c r="C13" s="34" t="s">
        <v>82</v>
      </c>
      <c r="D13" s="35" t="s">
        <v>199</v>
      </c>
      <c r="E13" s="35" t="s">
        <v>208</v>
      </c>
      <c r="F13" s="129">
        <f t="shared" ref="F13:P13" si="5">+F46/1000</f>
        <v>24.923999999999999</v>
      </c>
      <c r="G13" s="129">
        <f t="shared" si="5"/>
        <v>25.946000000000002</v>
      </c>
      <c r="H13" s="129">
        <f t="shared" si="5"/>
        <v>25.759</v>
      </c>
      <c r="I13" s="130">
        <f t="shared" si="5"/>
        <v>24.917000000000002</v>
      </c>
      <c r="J13" s="345">
        <f t="shared" si="5"/>
        <v>25</v>
      </c>
      <c r="K13" s="129">
        <f t="shared" si="5"/>
        <v>25</v>
      </c>
      <c r="L13" s="129">
        <f t="shared" si="5"/>
        <v>25</v>
      </c>
      <c r="M13" s="129">
        <f t="shared" si="5"/>
        <v>25</v>
      </c>
      <c r="N13" s="129">
        <f t="shared" si="5"/>
        <v>25</v>
      </c>
      <c r="O13" s="129">
        <f t="shared" si="5"/>
        <v>25</v>
      </c>
      <c r="P13" s="130">
        <f t="shared" si="5"/>
        <v>25</v>
      </c>
      <c r="Q13" s="374"/>
    </row>
    <row r="14" spans="2:17" ht="15.75" x14ac:dyDescent="0.25">
      <c r="B14" s="216" t="s">
        <v>58</v>
      </c>
      <c r="C14" s="220" t="s">
        <v>149</v>
      </c>
      <c r="D14" s="322" t="s">
        <v>199</v>
      </c>
      <c r="E14" s="322" t="s">
        <v>208</v>
      </c>
      <c r="F14" s="203">
        <f t="shared" ref="F14:P14" si="6">+F47/1000</f>
        <v>0</v>
      </c>
      <c r="G14" s="203">
        <f t="shared" si="6"/>
        <v>0</v>
      </c>
      <c r="H14" s="203">
        <f t="shared" si="6"/>
        <v>27.1</v>
      </c>
      <c r="I14" s="204">
        <f t="shared" si="6"/>
        <v>29.1</v>
      </c>
      <c r="J14" s="356">
        <f t="shared" si="6"/>
        <v>28</v>
      </c>
      <c r="K14" s="203">
        <f t="shared" si="6"/>
        <v>28</v>
      </c>
      <c r="L14" s="203">
        <f t="shared" si="6"/>
        <v>27</v>
      </c>
      <c r="M14" s="203">
        <f t="shared" si="6"/>
        <v>27</v>
      </c>
      <c r="N14" s="203">
        <f t="shared" si="6"/>
        <v>26</v>
      </c>
      <c r="O14" s="203">
        <f t="shared" si="6"/>
        <v>26</v>
      </c>
      <c r="P14" s="204">
        <f t="shared" si="6"/>
        <v>25</v>
      </c>
      <c r="Q14" s="374"/>
    </row>
    <row r="15" spans="2:17" ht="15.75" x14ac:dyDescent="0.25">
      <c r="B15" s="209" t="s">
        <v>59</v>
      </c>
      <c r="C15" s="16" t="s">
        <v>150</v>
      </c>
      <c r="D15" s="17" t="s">
        <v>199</v>
      </c>
      <c r="E15" s="17" t="s">
        <v>208</v>
      </c>
      <c r="F15" s="211">
        <f t="shared" ref="F15:P15" si="7">+F48/1000</f>
        <v>157.6</v>
      </c>
      <c r="G15" s="211">
        <f t="shared" si="7"/>
        <v>163.1</v>
      </c>
      <c r="H15" s="211">
        <f t="shared" si="7"/>
        <v>162.69999999999999</v>
      </c>
      <c r="I15" s="212">
        <f t="shared" si="7"/>
        <v>179.9</v>
      </c>
      <c r="J15" s="354">
        <f t="shared" si="7"/>
        <v>180</v>
      </c>
      <c r="K15" s="211">
        <f t="shared" si="7"/>
        <v>180</v>
      </c>
      <c r="L15" s="211">
        <f t="shared" si="7"/>
        <v>180</v>
      </c>
      <c r="M15" s="211">
        <f t="shared" si="7"/>
        <v>180</v>
      </c>
      <c r="N15" s="211">
        <f t="shared" si="7"/>
        <v>180</v>
      </c>
      <c r="O15" s="211">
        <f t="shared" si="7"/>
        <v>180</v>
      </c>
      <c r="P15" s="212">
        <f t="shared" si="7"/>
        <v>180</v>
      </c>
      <c r="Q15" s="374"/>
    </row>
    <row r="16" spans="2:17" ht="15.75" x14ac:dyDescent="0.25">
      <c r="B16" s="124" t="s">
        <v>60</v>
      </c>
      <c r="C16" s="34" t="s">
        <v>150</v>
      </c>
      <c r="D16" s="35" t="s">
        <v>199</v>
      </c>
      <c r="E16" s="35" t="s">
        <v>208</v>
      </c>
      <c r="F16" s="129">
        <f t="shared" ref="F16:P16" si="8">+F49/1000</f>
        <v>99.1</v>
      </c>
      <c r="G16" s="129">
        <f t="shared" si="8"/>
        <v>104.6</v>
      </c>
      <c r="H16" s="129">
        <f t="shared" si="8"/>
        <v>106.4</v>
      </c>
      <c r="I16" s="130">
        <f t="shared" si="8"/>
        <v>90.9</v>
      </c>
      <c r="J16" s="345">
        <f t="shared" si="8"/>
        <v>95</v>
      </c>
      <c r="K16" s="129">
        <f t="shared" si="8"/>
        <v>95</v>
      </c>
      <c r="L16" s="129">
        <f t="shared" si="8"/>
        <v>95</v>
      </c>
      <c r="M16" s="129">
        <f t="shared" si="8"/>
        <v>95</v>
      </c>
      <c r="N16" s="129">
        <f t="shared" si="8"/>
        <v>95</v>
      </c>
      <c r="O16" s="129">
        <f t="shared" si="8"/>
        <v>95</v>
      </c>
      <c r="P16" s="130">
        <f t="shared" si="8"/>
        <v>95</v>
      </c>
      <c r="Q16" s="374"/>
    </row>
    <row r="17" spans="2:17" ht="15.75" x14ac:dyDescent="0.25">
      <c r="B17" s="124" t="s">
        <v>61</v>
      </c>
      <c r="C17" s="34" t="s">
        <v>150</v>
      </c>
      <c r="D17" s="396" t="s">
        <v>317</v>
      </c>
      <c r="E17" s="35" t="s">
        <v>19</v>
      </c>
      <c r="F17" s="129">
        <f t="shared" ref="F17:P17" si="9">+F50/1000</f>
        <v>49.6</v>
      </c>
      <c r="G17" s="129">
        <f t="shared" si="9"/>
        <v>20.3</v>
      </c>
      <c r="H17" s="129">
        <f t="shared" si="9"/>
        <v>14</v>
      </c>
      <c r="I17" s="130">
        <f t="shared" si="9"/>
        <v>13</v>
      </c>
      <c r="J17" s="345">
        <f t="shared" si="9"/>
        <v>0</v>
      </c>
      <c r="K17" s="129">
        <f t="shared" si="9"/>
        <v>0</v>
      </c>
      <c r="L17" s="129">
        <f t="shared" si="9"/>
        <v>0</v>
      </c>
      <c r="M17" s="129">
        <f t="shared" si="9"/>
        <v>0</v>
      </c>
      <c r="N17" s="129">
        <f t="shared" si="9"/>
        <v>0</v>
      </c>
      <c r="O17" s="129">
        <f t="shared" si="9"/>
        <v>0</v>
      </c>
      <c r="P17" s="130">
        <f t="shared" si="9"/>
        <v>0</v>
      </c>
      <c r="Q17" s="374"/>
    </row>
    <row r="18" spans="2:17" ht="15.75" x14ac:dyDescent="0.25">
      <c r="B18" s="213" t="s">
        <v>62</v>
      </c>
      <c r="C18" s="22" t="s">
        <v>150</v>
      </c>
      <c r="D18" s="23" t="s">
        <v>199</v>
      </c>
      <c r="E18" s="23" t="s">
        <v>19</v>
      </c>
      <c r="F18" s="218">
        <f t="shared" ref="F18:P18" si="10">+F51/1000</f>
        <v>0</v>
      </c>
      <c r="G18" s="218">
        <f t="shared" si="10"/>
        <v>0</v>
      </c>
      <c r="H18" s="218">
        <f t="shared" si="10"/>
        <v>5.9</v>
      </c>
      <c r="I18" s="219">
        <f t="shared" si="10"/>
        <v>8.6999999999999993</v>
      </c>
      <c r="J18" s="355">
        <f t="shared" si="10"/>
        <v>10</v>
      </c>
      <c r="K18" s="218">
        <f t="shared" si="10"/>
        <v>9</v>
      </c>
      <c r="L18" s="218">
        <f t="shared" si="10"/>
        <v>9</v>
      </c>
      <c r="M18" s="218">
        <f t="shared" si="10"/>
        <v>8</v>
      </c>
      <c r="N18" s="218">
        <f t="shared" si="10"/>
        <v>6</v>
      </c>
      <c r="O18" s="218">
        <f t="shared" si="10"/>
        <v>0</v>
      </c>
      <c r="P18" s="219">
        <f t="shared" si="10"/>
        <v>0</v>
      </c>
      <c r="Q18" s="374"/>
    </row>
    <row r="19" spans="2:17" ht="15.75" x14ac:dyDescent="0.25">
      <c r="B19" s="205" t="s">
        <v>63</v>
      </c>
      <c r="C19" s="72" t="s">
        <v>151</v>
      </c>
      <c r="D19" s="299" t="s">
        <v>199</v>
      </c>
      <c r="E19" s="299" t="s">
        <v>208</v>
      </c>
      <c r="F19" s="207">
        <f t="shared" ref="F19:P19" si="11">+F52/1000</f>
        <v>30.18</v>
      </c>
      <c r="G19" s="207">
        <f t="shared" si="11"/>
        <v>24.219000000000001</v>
      </c>
      <c r="H19" s="207">
        <f t="shared" si="11"/>
        <v>10.125999999999999</v>
      </c>
      <c r="I19" s="208">
        <f t="shared" si="11"/>
        <v>53.319000000000003</v>
      </c>
      <c r="J19" s="352">
        <f t="shared" si="11"/>
        <v>47.2</v>
      </c>
      <c r="K19" s="207">
        <f t="shared" si="11"/>
        <v>55</v>
      </c>
      <c r="L19" s="207">
        <f t="shared" si="11"/>
        <v>60</v>
      </c>
      <c r="M19" s="207">
        <f t="shared" si="11"/>
        <v>60</v>
      </c>
      <c r="N19" s="207">
        <f t="shared" si="11"/>
        <v>60</v>
      </c>
      <c r="O19" s="207">
        <f t="shared" si="11"/>
        <v>60</v>
      </c>
      <c r="P19" s="208">
        <f t="shared" si="11"/>
        <v>60</v>
      </c>
      <c r="Q19" s="374"/>
    </row>
    <row r="20" spans="2:17" ht="15.75" x14ac:dyDescent="0.25">
      <c r="B20" s="124" t="s">
        <v>64</v>
      </c>
      <c r="C20" s="34" t="s">
        <v>151</v>
      </c>
      <c r="D20" s="35" t="s">
        <v>199</v>
      </c>
      <c r="E20" s="35" t="s">
        <v>208</v>
      </c>
      <c r="F20" s="129">
        <f t="shared" ref="F20:P20" si="12">+F53/1000</f>
        <v>9.82</v>
      </c>
      <c r="G20" s="129">
        <f t="shared" si="12"/>
        <v>8.1460000000000008</v>
      </c>
      <c r="H20" s="129">
        <f t="shared" si="12"/>
        <v>6.3490000000000002</v>
      </c>
      <c r="I20" s="130">
        <f t="shared" si="12"/>
        <v>5.6920000000000002</v>
      </c>
      <c r="J20" s="345">
        <f t="shared" si="12"/>
        <v>10.8</v>
      </c>
      <c r="K20" s="129">
        <f t="shared" si="12"/>
        <v>8</v>
      </c>
      <c r="L20" s="129">
        <f t="shared" si="12"/>
        <v>8</v>
      </c>
      <c r="M20" s="129">
        <f t="shared" si="12"/>
        <v>8</v>
      </c>
      <c r="N20" s="129">
        <f t="shared" si="12"/>
        <v>8</v>
      </c>
      <c r="O20" s="129">
        <f t="shared" si="12"/>
        <v>8</v>
      </c>
      <c r="P20" s="130">
        <f t="shared" si="12"/>
        <v>8</v>
      </c>
      <c r="Q20" s="374"/>
    </row>
    <row r="21" spans="2:17" ht="15.75" x14ac:dyDescent="0.25">
      <c r="B21" s="201" t="s">
        <v>65</v>
      </c>
      <c r="C21" s="202" t="s">
        <v>151</v>
      </c>
      <c r="D21" s="357" t="s">
        <v>199</v>
      </c>
      <c r="E21" s="322" t="s">
        <v>208</v>
      </c>
      <c r="F21" s="203">
        <f t="shared" ref="F21:P21" si="13">+F54/1000</f>
        <v>6.0880000000000001</v>
      </c>
      <c r="G21" s="203">
        <f t="shared" si="13"/>
        <v>8.9730000000000008</v>
      </c>
      <c r="H21" s="203">
        <f t="shared" si="13"/>
        <v>9.8930000000000007</v>
      </c>
      <c r="I21" s="204">
        <f t="shared" si="13"/>
        <v>9.173</v>
      </c>
      <c r="J21" s="356">
        <f t="shared" si="13"/>
        <v>7.2</v>
      </c>
      <c r="K21" s="203">
        <f t="shared" si="13"/>
        <v>9</v>
      </c>
      <c r="L21" s="203">
        <f t="shared" si="13"/>
        <v>9</v>
      </c>
      <c r="M21" s="203">
        <f t="shared" si="13"/>
        <v>9</v>
      </c>
      <c r="N21" s="203">
        <f t="shared" si="13"/>
        <v>9</v>
      </c>
      <c r="O21" s="203">
        <f t="shared" si="13"/>
        <v>9</v>
      </c>
      <c r="P21" s="204">
        <f t="shared" si="13"/>
        <v>9</v>
      </c>
      <c r="Q21" s="374"/>
    </row>
    <row r="22" spans="2:17" ht="15.75" x14ac:dyDescent="0.25">
      <c r="B22" s="209" t="s">
        <v>66</v>
      </c>
      <c r="C22" s="210" t="s">
        <v>152</v>
      </c>
      <c r="D22" s="359" t="s">
        <v>199</v>
      </c>
      <c r="E22" s="17" t="s">
        <v>208</v>
      </c>
      <c r="F22" s="211">
        <f t="shared" ref="F22:P22" si="14">+F55/1000</f>
        <v>12.9</v>
      </c>
      <c r="G22" s="211">
        <f t="shared" si="14"/>
        <v>16.399999999999999</v>
      </c>
      <c r="H22" s="211">
        <f t="shared" si="14"/>
        <v>17.100000000000001</v>
      </c>
      <c r="I22" s="212">
        <f t="shared" si="14"/>
        <v>12.3</v>
      </c>
      <c r="J22" s="354">
        <f t="shared" si="14"/>
        <v>17</v>
      </c>
      <c r="K22" s="211">
        <f t="shared" si="14"/>
        <v>16</v>
      </c>
      <c r="L22" s="211">
        <f t="shared" si="14"/>
        <v>16</v>
      </c>
      <c r="M22" s="211">
        <f t="shared" si="14"/>
        <v>16</v>
      </c>
      <c r="N22" s="211">
        <f t="shared" si="14"/>
        <v>16</v>
      </c>
      <c r="O22" s="211">
        <f t="shared" si="14"/>
        <v>16</v>
      </c>
      <c r="P22" s="212">
        <f t="shared" si="14"/>
        <v>16</v>
      </c>
      <c r="Q22" s="374"/>
    </row>
    <row r="23" spans="2:17" ht="15.75" x14ac:dyDescent="0.25">
      <c r="B23" s="213" t="s">
        <v>67</v>
      </c>
      <c r="C23" s="214" t="s">
        <v>152</v>
      </c>
      <c r="D23" s="360" t="s">
        <v>199</v>
      </c>
      <c r="E23" s="76" t="s">
        <v>208</v>
      </c>
      <c r="F23" s="218">
        <f t="shared" ref="F23:P23" si="15">+F56/1000</f>
        <v>11.824</v>
      </c>
      <c r="G23" s="218">
        <f t="shared" si="15"/>
        <v>14.016999999999999</v>
      </c>
      <c r="H23" s="218">
        <f t="shared" si="15"/>
        <v>14.2</v>
      </c>
      <c r="I23" s="219">
        <f t="shared" si="15"/>
        <v>13.55</v>
      </c>
      <c r="J23" s="355">
        <f t="shared" si="15"/>
        <v>19.399999999999999</v>
      </c>
      <c r="K23" s="218">
        <f t="shared" si="15"/>
        <v>18</v>
      </c>
      <c r="L23" s="218">
        <f t="shared" si="15"/>
        <v>18</v>
      </c>
      <c r="M23" s="218">
        <f t="shared" si="15"/>
        <v>18</v>
      </c>
      <c r="N23" s="218">
        <f t="shared" si="15"/>
        <v>18</v>
      </c>
      <c r="O23" s="218">
        <f t="shared" si="15"/>
        <v>18</v>
      </c>
      <c r="P23" s="219">
        <f t="shared" si="15"/>
        <v>18</v>
      </c>
      <c r="Q23" s="374"/>
    </row>
    <row r="24" spans="2:17" ht="15.75" x14ac:dyDescent="0.25">
      <c r="B24" s="205" t="s">
        <v>68</v>
      </c>
      <c r="C24" s="206" t="s">
        <v>153</v>
      </c>
      <c r="D24" s="358" t="s">
        <v>199</v>
      </c>
      <c r="E24" s="299" t="s">
        <v>208</v>
      </c>
      <c r="F24" s="207">
        <f t="shared" ref="F24:P24" si="16">+F57/1000</f>
        <v>22.6</v>
      </c>
      <c r="G24" s="207">
        <f t="shared" si="16"/>
        <v>23.05</v>
      </c>
      <c r="H24" s="207">
        <f t="shared" si="16"/>
        <v>24.8</v>
      </c>
      <c r="I24" s="208">
        <f t="shared" si="16"/>
        <v>20</v>
      </c>
      <c r="J24" s="352">
        <f t="shared" si="16"/>
        <v>23</v>
      </c>
      <c r="K24" s="207">
        <f t="shared" si="16"/>
        <v>21.9</v>
      </c>
      <c r="L24" s="207">
        <f t="shared" si="16"/>
        <v>19.7</v>
      </c>
      <c r="M24" s="207">
        <f t="shared" si="16"/>
        <v>20.6</v>
      </c>
      <c r="N24" s="207">
        <f t="shared" si="16"/>
        <v>18.3</v>
      </c>
      <c r="O24" s="207">
        <f t="shared" si="16"/>
        <v>13.5</v>
      </c>
      <c r="P24" s="208">
        <f t="shared" si="16"/>
        <v>15</v>
      </c>
      <c r="Q24" s="374"/>
    </row>
    <row r="25" spans="2:17" ht="15.75" customHeight="1" x14ac:dyDescent="0.25">
      <c r="B25" s="124" t="s">
        <v>69</v>
      </c>
      <c r="C25" s="138" t="s">
        <v>145</v>
      </c>
      <c r="D25" s="341" t="s">
        <v>199</v>
      </c>
      <c r="E25" s="35" t="s">
        <v>208</v>
      </c>
      <c r="F25" s="129">
        <f t="shared" ref="F25:P25" si="17">+F58/1000</f>
        <v>38.67</v>
      </c>
      <c r="G25" s="129">
        <f t="shared" si="17"/>
        <v>42.731999999999999</v>
      </c>
      <c r="H25" s="129">
        <f t="shared" si="17"/>
        <v>46.707999999999998</v>
      </c>
      <c r="I25" s="130">
        <f t="shared" si="17"/>
        <v>48.383000000000003</v>
      </c>
      <c r="J25" s="345">
        <f t="shared" si="17"/>
        <v>49.8</v>
      </c>
      <c r="K25" s="129">
        <f t="shared" si="17"/>
        <v>50</v>
      </c>
      <c r="L25" s="129">
        <f t="shared" si="17"/>
        <v>50</v>
      </c>
      <c r="M25" s="129">
        <f t="shared" si="17"/>
        <v>50</v>
      </c>
      <c r="N25" s="129">
        <f t="shared" si="17"/>
        <v>50</v>
      </c>
      <c r="O25" s="129">
        <f t="shared" si="17"/>
        <v>25</v>
      </c>
      <c r="P25" s="130">
        <f t="shared" si="17"/>
        <v>25</v>
      </c>
      <c r="Q25" s="374"/>
    </row>
    <row r="26" spans="2:17" ht="15.75" x14ac:dyDescent="0.25">
      <c r="B26" s="124" t="s">
        <v>70</v>
      </c>
      <c r="C26" s="138" t="s">
        <v>190</v>
      </c>
      <c r="D26" s="341" t="s">
        <v>199</v>
      </c>
      <c r="E26" s="35" t="s">
        <v>208</v>
      </c>
      <c r="F26" s="129">
        <f t="shared" ref="F26:P26" si="18">+F59/1000</f>
        <v>15.496</v>
      </c>
      <c r="G26" s="129">
        <f t="shared" si="18"/>
        <v>13.409000000000001</v>
      </c>
      <c r="H26" s="129">
        <f t="shared" si="18"/>
        <v>14.287000000000001</v>
      </c>
      <c r="I26" s="130">
        <f t="shared" si="18"/>
        <v>12.906000000000001</v>
      </c>
      <c r="J26" s="345">
        <f t="shared" si="18"/>
        <v>12</v>
      </c>
      <c r="K26" s="129">
        <f t="shared" si="18"/>
        <v>14</v>
      </c>
      <c r="L26" s="129">
        <f t="shared" si="18"/>
        <v>14</v>
      </c>
      <c r="M26" s="129">
        <f t="shared" si="18"/>
        <v>14</v>
      </c>
      <c r="N26" s="129">
        <f t="shared" si="18"/>
        <v>14</v>
      </c>
      <c r="O26" s="129">
        <f t="shared" si="18"/>
        <v>14</v>
      </c>
      <c r="P26" s="130">
        <f t="shared" si="18"/>
        <v>14</v>
      </c>
      <c r="Q26" s="374"/>
    </row>
    <row r="27" spans="2:17" ht="15.75" x14ac:dyDescent="0.25">
      <c r="B27" s="124" t="s">
        <v>71</v>
      </c>
      <c r="C27" s="138" t="s">
        <v>154</v>
      </c>
      <c r="D27" s="341" t="s">
        <v>199</v>
      </c>
      <c r="E27" s="35" t="s">
        <v>208</v>
      </c>
      <c r="F27" s="129">
        <f t="shared" ref="F27:P27" si="19">+F60/1000</f>
        <v>10.15</v>
      </c>
      <c r="G27" s="129">
        <f t="shared" si="19"/>
        <v>11.4</v>
      </c>
      <c r="H27" s="129">
        <f t="shared" si="19"/>
        <v>12.4</v>
      </c>
      <c r="I27" s="130">
        <f t="shared" si="19"/>
        <v>16.251999999999999</v>
      </c>
      <c r="J27" s="345">
        <f t="shared" si="19"/>
        <v>19.802</v>
      </c>
      <c r="K27" s="129">
        <f t="shared" si="19"/>
        <v>14.702999999999999</v>
      </c>
      <c r="L27" s="129">
        <f t="shared" si="19"/>
        <v>14.75</v>
      </c>
      <c r="M27" s="129">
        <f t="shared" si="19"/>
        <v>19.434999999999999</v>
      </c>
      <c r="N27" s="129">
        <f t="shared" si="19"/>
        <v>16.356999999999999</v>
      </c>
      <c r="O27" s="129">
        <f t="shared" si="19"/>
        <v>15.576000000000001</v>
      </c>
      <c r="P27" s="130">
        <f t="shared" si="19"/>
        <v>16</v>
      </c>
      <c r="Q27" s="374"/>
    </row>
    <row r="28" spans="2:17" ht="15.75" x14ac:dyDescent="0.25">
      <c r="B28" s="124" t="s">
        <v>155</v>
      </c>
      <c r="C28" s="138" t="s">
        <v>72</v>
      </c>
      <c r="D28" s="341" t="s">
        <v>199</v>
      </c>
      <c r="E28" s="35" t="s">
        <v>208</v>
      </c>
      <c r="F28" s="129">
        <f t="shared" ref="F28:P28" si="20">+F61/1000</f>
        <v>37.57</v>
      </c>
      <c r="G28" s="129">
        <f t="shared" si="20"/>
        <v>26.498000000000001</v>
      </c>
      <c r="H28" s="129">
        <f t="shared" si="20"/>
        <v>13.82</v>
      </c>
      <c r="I28" s="130">
        <f t="shared" si="20"/>
        <v>24.478999999999999</v>
      </c>
      <c r="J28" s="345">
        <f t="shared" si="20"/>
        <v>23</v>
      </c>
      <c r="K28" s="129">
        <f t="shared" si="20"/>
        <v>25</v>
      </c>
      <c r="L28" s="129">
        <f t="shared" si="20"/>
        <v>25</v>
      </c>
      <c r="M28" s="129">
        <f t="shared" si="20"/>
        <v>25</v>
      </c>
      <c r="N28" s="129">
        <f t="shared" si="20"/>
        <v>25</v>
      </c>
      <c r="O28" s="129">
        <f t="shared" si="20"/>
        <v>25</v>
      </c>
      <c r="P28" s="130">
        <f t="shared" si="20"/>
        <v>25</v>
      </c>
      <c r="Q28" s="374"/>
    </row>
    <row r="29" spans="2:17" ht="15.75" x14ac:dyDescent="0.25">
      <c r="B29" s="124" t="s">
        <v>73</v>
      </c>
      <c r="C29" s="138" t="s">
        <v>156</v>
      </c>
      <c r="D29" s="341" t="s">
        <v>199</v>
      </c>
      <c r="E29" s="35" t="s">
        <v>208</v>
      </c>
      <c r="F29" s="129">
        <f t="shared" ref="F29:P29" si="21">+F62/1000</f>
        <v>33.804000000000002</v>
      </c>
      <c r="G29" s="129">
        <f t="shared" si="21"/>
        <v>34.834000000000003</v>
      </c>
      <c r="H29" s="129">
        <f t="shared" si="21"/>
        <v>26.422999999999998</v>
      </c>
      <c r="I29" s="130">
        <f t="shared" si="21"/>
        <v>27.321000000000002</v>
      </c>
      <c r="J29" s="345">
        <f t="shared" si="21"/>
        <v>21</v>
      </c>
      <c r="K29" s="129">
        <f t="shared" si="21"/>
        <v>25</v>
      </c>
      <c r="L29" s="129">
        <f t="shared" si="21"/>
        <v>25</v>
      </c>
      <c r="M29" s="129">
        <f t="shared" si="21"/>
        <v>25</v>
      </c>
      <c r="N29" s="129">
        <f t="shared" si="21"/>
        <v>25</v>
      </c>
      <c r="O29" s="129">
        <f t="shared" si="21"/>
        <v>25</v>
      </c>
      <c r="P29" s="130">
        <f t="shared" si="21"/>
        <v>25</v>
      </c>
      <c r="Q29" s="374"/>
    </row>
    <row r="30" spans="2:17" ht="15.75" x14ac:dyDescent="0.25">
      <c r="B30" s="124" t="s">
        <v>74</v>
      </c>
      <c r="C30" s="138" t="s">
        <v>74</v>
      </c>
      <c r="D30" s="341" t="s">
        <v>199</v>
      </c>
      <c r="E30" s="35" t="s">
        <v>208</v>
      </c>
      <c r="F30" s="129">
        <f t="shared" ref="F30:P30" si="22">+F63/1000</f>
        <v>20.741</v>
      </c>
      <c r="G30" s="129">
        <f t="shared" si="22"/>
        <v>23.87</v>
      </c>
      <c r="H30" s="129">
        <f t="shared" si="22"/>
        <v>24.006</v>
      </c>
      <c r="I30" s="130">
        <f t="shared" si="22"/>
        <v>33.823</v>
      </c>
      <c r="J30" s="345">
        <f t="shared" si="22"/>
        <v>37</v>
      </c>
      <c r="K30" s="129">
        <f t="shared" si="22"/>
        <v>35</v>
      </c>
      <c r="L30" s="129">
        <f t="shared" si="22"/>
        <v>35</v>
      </c>
      <c r="M30" s="129">
        <f t="shared" si="22"/>
        <v>35</v>
      </c>
      <c r="N30" s="129">
        <f t="shared" si="22"/>
        <v>35</v>
      </c>
      <c r="O30" s="129">
        <f t="shared" si="22"/>
        <v>35</v>
      </c>
      <c r="P30" s="130">
        <f t="shared" si="22"/>
        <v>35</v>
      </c>
      <c r="Q30" s="374"/>
    </row>
    <row r="31" spans="2:17" ht="15.75" x14ac:dyDescent="0.25">
      <c r="B31" s="227" t="s">
        <v>157</v>
      </c>
      <c r="C31" s="138" t="s">
        <v>75</v>
      </c>
      <c r="D31" s="341" t="s">
        <v>199</v>
      </c>
      <c r="E31" s="35" t="s">
        <v>208</v>
      </c>
      <c r="F31" s="129">
        <f t="shared" ref="F31:P31" si="23">+F64/1000</f>
        <v>32.831000000000003</v>
      </c>
      <c r="G31" s="129">
        <f t="shared" si="23"/>
        <v>31.96</v>
      </c>
      <c r="H31" s="129">
        <f t="shared" si="23"/>
        <v>36.042999999999999</v>
      </c>
      <c r="I31" s="130">
        <f t="shared" si="23"/>
        <v>35.118000000000002</v>
      </c>
      <c r="J31" s="345">
        <f t="shared" si="23"/>
        <v>40</v>
      </c>
      <c r="K31" s="129">
        <f t="shared" si="23"/>
        <v>35</v>
      </c>
      <c r="L31" s="129">
        <f t="shared" si="23"/>
        <v>35</v>
      </c>
      <c r="M31" s="129">
        <f t="shared" si="23"/>
        <v>35</v>
      </c>
      <c r="N31" s="129">
        <f t="shared" si="23"/>
        <v>35</v>
      </c>
      <c r="O31" s="129">
        <f t="shared" si="23"/>
        <v>35</v>
      </c>
      <c r="P31" s="130">
        <f t="shared" si="23"/>
        <v>35</v>
      </c>
      <c r="Q31" s="374"/>
    </row>
    <row r="32" spans="2:17" ht="15.75" x14ac:dyDescent="0.25">
      <c r="B32" s="227" t="s">
        <v>158</v>
      </c>
      <c r="C32" s="138" t="s">
        <v>76</v>
      </c>
      <c r="D32" s="341" t="s">
        <v>199</v>
      </c>
      <c r="E32" s="35" t="s">
        <v>208</v>
      </c>
      <c r="F32" s="129">
        <f t="shared" ref="F32:P32" si="24">+F65/1000</f>
        <v>22.638999999999999</v>
      </c>
      <c r="G32" s="129">
        <f t="shared" si="24"/>
        <v>18.89</v>
      </c>
      <c r="H32" s="129">
        <f t="shared" si="24"/>
        <v>22.940999999999999</v>
      </c>
      <c r="I32" s="130">
        <f t="shared" si="24"/>
        <v>25.18</v>
      </c>
      <c r="J32" s="345">
        <f t="shared" si="24"/>
        <v>21</v>
      </c>
      <c r="K32" s="129">
        <f t="shared" si="24"/>
        <v>23</v>
      </c>
      <c r="L32" s="129">
        <f t="shared" si="24"/>
        <v>23</v>
      </c>
      <c r="M32" s="129">
        <f t="shared" si="24"/>
        <v>23</v>
      </c>
      <c r="N32" s="129">
        <f t="shared" si="24"/>
        <v>23</v>
      </c>
      <c r="O32" s="129">
        <f t="shared" si="24"/>
        <v>23</v>
      </c>
      <c r="P32" s="130">
        <f t="shared" si="24"/>
        <v>23</v>
      </c>
      <c r="Q32" s="374"/>
    </row>
    <row r="33" spans="2:17" ht="16.5" thickBot="1" x14ac:dyDescent="0.3">
      <c r="B33" s="107" t="s">
        <v>77</v>
      </c>
      <c r="C33" s="139" t="s">
        <v>159</v>
      </c>
      <c r="D33" s="142" t="s">
        <v>199</v>
      </c>
      <c r="E33" s="35" t="s">
        <v>208</v>
      </c>
      <c r="F33" s="131">
        <f t="shared" ref="F33:P33" si="25">+F66/1000</f>
        <v>5.3819999999999997</v>
      </c>
      <c r="G33" s="131">
        <f t="shared" si="25"/>
        <v>5.4980000000000002</v>
      </c>
      <c r="H33" s="131">
        <f t="shared" si="25"/>
        <v>7.2869999999999999</v>
      </c>
      <c r="I33" s="132">
        <f t="shared" si="25"/>
        <v>8.0530000000000008</v>
      </c>
      <c r="J33" s="346">
        <f t="shared" si="25"/>
        <v>7</v>
      </c>
      <c r="K33" s="131">
        <f t="shared" si="25"/>
        <v>7</v>
      </c>
      <c r="L33" s="131">
        <f t="shared" si="25"/>
        <v>7</v>
      </c>
      <c r="M33" s="131">
        <f t="shared" si="25"/>
        <v>7</v>
      </c>
      <c r="N33" s="131">
        <f t="shared" si="25"/>
        <v>7</v>
      </c>
      <c r="O33" s="131">
        <f t="shared" si="25"/>
        <v>7</v>
      </c>
      <c r="P33" s="132">
        <f t="shared" si="25"/>
        <v>7</v>
      </c>
      <c r="Q33" s="374"/>
    </row>
    <row r="34" spans="2:17" ht="15.75" x14ac:dyDescent="0.25">
      <c r="B34" s="111" t="s">
        <v>78</v>
      </c>
      <c r="C34" s="140"/>
      <c r="D34" s="140"/>
      <c r="E34" s="111"/>
      <c r="F34" s="127">
        <f t="shared" ref="F34:P34" si="26">+F67/1000</f>
        <v>1171.2360000000001</v>
      </c>
      <c r="G34" s="127">
        <f t="shared" si="26"/>
        <v>1220.7809999999999</v>
      </c>
      <c r="H34" s="127">
        <f t="shared" si="26"/>
        <v>1194.079</v>
      </c>
      <c r="I34" s="128">
        <f t="shared" si="26"/>
        <v>1273.694</v>
      </c>
      <c r="J34" s="344">
        <f t="shared" si="26"/>
        <v>1198.202</v>
      </c>
      <c r="K34" s="127">
        <f t="shared" si="26"/>
        <v>1328.6030000000001</v>
      </c>
      <c r="L34" s="127">
        <f t="shared" si="26"/>
        <v>1330.45</v>
      </c>
      <c r="M34" s="127">
        <f t="shared" si="26"/>
        <v>1335.0350000000001</v>
      </c>
      <c r="N34" s="127">
        <f t="shared" si="26"/>
        <v>1352.6569999999999</v>
      </c>
      <c r="O34" s="127">
        <f t="shared" si="26"/>
        <v>1316.076</v>
      </c>
      <c r="P34" s="128">
        <f t="shared" si="26"/>
        <v>1317</v>
      </c>
      <c r="Q34" s="374"/>
    </row>
    <row r="35" spans="2:17" ht="16.5" thickBot="1" x14ac:dyDescent="0.3">
      <c r="B35" s="135" t="s">
        <v>79</v>
      </c>
      <c r="C35" s="141"/>
      <c r="D35" s="397" t="s">
        <v>199</v>
      </c>
      <c r="E35" s="135"/>
      <c r="F35" s="136">
        <f t="shared" ref="F35:P35" si="27">+F68/1000</f>
        <v>33.020000000000003</v>
      </c>
      <c r="G35" s="136">
        <f t="shared" si="27"/>
        <v>41.767000000000003</v>
      </c>
      <c r="H35" s="136">
        <f t="shared" si="27"/>
        <v>55.988</v>
      </c>
      <c r="I35" s="137">
        <f t="shared" si="27"/>
        <v>68.355000000000004</v>
      </c>
      <c r="J35" s="347">
        <f t="shared" si="27"/>
        <v>75</v>
      </c>
      <c r="K35" s="136">
        <f t="shared" si="27"/>
        <v>80</v>
      </c>
      <c r="L35" s="136">
        <f t="shared" si="27"/>
        <v>85</v>
      </c>
      <c r="M35" s="136">
        <f t="shared" si="27"/>
        <v>90</v>
      </c>
      <c r="N35" s="136">
        <f t="shared" si="27"/>
        <v>95</v>
      </c>
      <c r="O35" s="136">
        <f t="shared" si="27"/>
        <v>100</v>
      </c>
      <c r="P35" s="137">
        <f t="shared" si="27"/>
        <v>105</v>
      </c>
      <c r="Q35" s="374"/>
    </row>
    <row r="36" spans="2:17" ht="15.75" x14ac:dyDescent="0.25">
      <c r="B36" s="111" t="s">
        <v>80</v>
      </c>
      <c r="C36" s="140"/>
      <c r="D36" s="140"/>
      <c r="E36" s="111"/>
      <c r="F36" s="127">
        <f t="shared" ref="F36:P36" si="28">+F69/1000</f>
        <v>1204.2560000000001</v>
      </c>
      <c r="G36" s="127">
        <f t="shared" si="28"/>
        <v>1262.548</v>
      </c>
      <c r="H36" s="127">
        <f t="shared" si="28"/>
        <v>1250.067</v>
      </c>
      <c r="I36" s="128">
        <f t="shared" si="28"/>
        <v>1342.049</v>
      </c>
      <c r="J36" s="344">
        <f t="shared" si="28"/>
        <v>1273.202</v>
      </c>
      <c r="K36" s="127">
        <f t="shared" si="28"/>
        <v>1408.6030000000001</v>
      </c>
      <c r="L36" s="127">
        <f t="shared" si="28"/>
        <v>1415.45</v>
      </c>
      <c r="M36" s="127">
        <f t="shared" si="28"/>
        <v>1425.0350000000001</v>
      </c>
      <c r="N36" s="127">
        <f t="shared" si="28"/>
        <v>1447.6569999999999</v>
      </c>
      <c r="O36" s="127">
        <f t="shared" si="28"/>
        <v>1416.076</v>
      </c>
      <c r="P36" s="128">
        <f t="shared" si="28"/>
        <v>1422</v>
      </c>
      <c r="Q36" s="374"/>
    </row>
    <row r="37" spans="2:17" ht="15.75" x14ac:dyDescent="0.25">
      <c r="B37" s="118"/>
      <c r="C37" s="142"/>
      <c r="D37" s="142"/>
      <c r="E37" s="118"/>
      <c r="F37" s="67"/>
      <c r="G37" s="133"/>
      <c r="H37" s="133"/>
      <c r="I37" s="134"/>
      <c r="J37" s="348"/>
      <c r="K37" s="133"/>
      <c r="L37" s="133"/>
      <c r="M37" s="133"/>
      <c r="N37" s="133"/>
      <c r="O37" s="133"/>
      <c r="P37" s="134"/>
      <c r="Q37" s="375"/>
    </row>
    <row r="40" spans="2:17" ht="15.75" hidden="1" x14ac:dyDescent="0.25">
      <c r="B40" s="27"/>
      <c r="C40" s="27"/>
      <c r="D40" s="27"/>
      <c r="E40" s="27"/>
      <c r="F40" s="84">
        <v>2012</v>
      </c>
      <c r="G40" s="85">
        <v>2013</v>
      </c>
      <c r="H40" s="85">
        <v>2014</v>
      </c>
      <c r="I40" s="86">
        <v>2015</v>
      </c>
      <c r="J40" s="84">
        <v>2016</v>
      </c>
      <c r="K40" s="85">
        <v>2017</v>
      </c>
      <c r="L40" s="85">
        <v>2018</v>
      </c>
      <c r="M40" s="85">
        <v>2019</v>
      </c>
      <c r="N40" s="85">
        <v>2020</v>
      </c>
      <c r="O40" s="85">
        <v>2021</v>
      </c>
      <c r="P40" s="86">
        <v>2022</v>
      </c>
      <c r="Q40" s="86"/>
    </row>
    <row r="41" spans="2:17" ht="15.75" hidden="1" x14ac:dyDescent="0.25">
      <c r="B41" s="91" t="s">
        <v>52</v>
      </c>
      <c r="C41" s="91"/>
      <c r="D41" s="91"/>
      <c r="E41" s="91"/>
      <c r="F41" s="92">
        <v>219000</v>
      </c>
      <c r="G41" s="93">
        <v>260400</v>
      </c>
      <c r="H41" s="93">
        <v>211000</v>
      </c>
      <c r="I41" s="94">
        <v>235000</v>
      </c>
      <c r="J41" s="92">
        <v>220000</v>
      </c>
      <c r="K41" s="93">
        <v>350000</v>
      </c>
      <c r="L41" s="93">
        <v>350000</v>
      </c>
      <c r="M41" s="93">
        <v>350000</v>
      </c>
      <c r="N41" s="93">
        <v>376000</v>
      </c>
      <c r="O41" s="93">
        <v>376000</v>
      </c>
      <c r="P41" s="94">
        <v>376000</v>
      </c>
      <c r="Q41" s="376"/>
    </row>
    <row r="42" spans="2:17" ht="16.5" hidden="1" thickBot="1" x14ac:dyDescent="0.3">
      <c r="B42" s="95" t="s">
        <v>53</v>
      </c>
      <c r="C42" s="95"/>
      <c r="D42" s="95"/>
      <c r="E42" s="95"/>
      <c r="F42" s="96">
        <v>108000</v>
      </c>
      <c r="G42" s="97">
        <v>155000</v>
      </c>
      <c r="H42" s="97">
        <v>167000</v>
      </c>
      <c r="I42" s="98">
        <v>177000</v>
      </c>
      <c r="J42" s="96">
        <v>185000</v>
      </c>
      <c r="K42" s="97">
        <v>180000</v>
      </c>
      <c r="L42" s="97">
        <v>175000</v>
      </c>
      <c r="M42" s="97">
        <v>175000</v>
      </c>
      <c r="N42" s="97">
        <v>175000</v>
      </c>
      <c r="O42" s="97">
        <v>175000</v>
      </c>
      <c r="P42" s="98">
        <v>175000</v>
      </c>
      <c r="Q42" s="376"/>
    </row>
    <row r="43" spans="2:17" ht="16.5" hidden="1" thickBot="1" x14ac:dyDescent="0.3">
      <c r="B43" s="99" t="s">
        <v>54</v>
      </c>
      <c r="C43" s="99"/>
      <c r="D43" s="99"/>
      <c r="E43" s="99"/>
      <c r="F43" s="100">
        <v>70700</v>
      </c>
      <c r="G43" s="101">
        <v>61700</v>
      </c>
      <c r="H43" s="101">
        <v>64900</v>
      </c>
      <c r="I43" s="102">
        <v>61700</v>
      </c>
      <c r="J43" s="100">
        <v>65000</v>
      </c>
      <c r="K43" s="101">
        <v>65000</v>
      </c>
      <c r="L43" s="101">
        <v>65000</v>
      </c>
      <c r="M43" s="101">
        <v>65000</v>
      </c>
      <c r="N43" s="101">
        <v>65000</v>
      </c>
      <c r="O43" s="101">
        <v>65000</v>
      </c>
      <c r="P43" s="102">
        <v>65000</v>
      </c>
      <c r="Q43" s="376"/>
    </row>
    <row r="44" spans="2:17" ht="16.5" hidden="1" thickBot="1" x14ac:dyDescent="0.3">
      <c r="B44" s="99" t="s">
        <v>55</v>
      </c>
      <c r="C44" s="99"/>
      <c r="D44" s="99"/>
      <c r="E44" s="99"/>
      <c r="F44" s="100">
        <v>44000</v>
      </c>
      <c r="G44" s="101">
        <v>44300</v>
      </c>
      <c r="H44" s="101">
        <v>37900</v>
      </c>
      <c r="I44" s="102">
        <v>30300</v>
      </c>
      <c r="J44" s="100">
        <v>35000</v>
      </c>
      <c r="K44" s="101">
        <v>40000</v>
      </c>
      <c r="L44" s="101">
        <v>45000</v>
      </c>
      <c r="M44" s="101">
        <v>45000</v>
      </c>
      <c r="N44" s="101">
        <v>45000</v>
      </c>
      <c r="O44" s="101">
        <v>45000</v>
      </c>
      <c r="P44" s="102">
        <v>45000</v>
      </c>
      <c r="Q44" s="376"/>
    </row>
    <row r="45" spans="2:17" ht="16.5" hidden="1" thickBot="1" x14ac:dyDescent="0.3">
      <c r="B45" s="103" t="s">
        <v>56</v>
      </c>
      <c r="C45" s="103"/>
      <c r="D45" s="103"/>
      <c r="E45" s="103"/>
      <c r="F45" s="100">
        <v>87617</v>
      </c>
      <c r="G45" s="101">
        <v>81539</v>
      </c>
      <c r="H45" s="101">
        <v>85037</v>
      </c>
      <c r="I45" s="102">
        <v>77628</v>
      </c>
      <c r="J45" s="104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6">
        <v>0</v>
      </c>
      <c r="Q45" s="377"/>
    </row>
    <row r="46" spans="2:17" ht="16.5" hidden="1" thickBot="1" x14ac:dyDescent="0.3">
      <c r="B46" s="103" t="s">
        <v>57</v>
      </c>
      <c r="C46" s="103"/>
      <c r="D46" s="103"/>
      <c r="E46" s="103"/>
      <c r="F46" s="100">
        <v>24924</v>
      </c>
      <c r="G46" s="101">
        <v>25946</v>
      </c>
      <c r="H46" s="101">
        <v>25759</v>
      </c>
      <c r="I46" s="102">
        <v>24917</v>
      </c>
      <c r="J46" s="100">
        <v>25000</v>
      </c>
      <c r="K46" s="101">
        <v>25000</v>
      </c>
      <c r="L46" s="101">
        <v>25000</v>
      </c>
      <c r="M46" s="101">
        <v>25000</v>
      </c>
      <c r="N46" s="101">
        <v>25000</v>
      </c>
      <c r="O46" s="101">
        <v>25000</v>
      </c>
      <c r="P46" s="102">
        <v>25000</v>
      </c>
      <c r="Q46" s="376"/>
    </row>
    <row r="47" spans="2:17" ht="16.5" hidden="1" thickBot="1" x14ac:dyDescent="0.3">
      <c r="B47" s="103" t="s">
        <v>58</v>
      </c>
      <c r="C47" s="103"/>
      <c r="D47" s="103"/>
      <c r="E47" s="103"/>
      <c r="F47" s="104">
        <v>0</v>
      </c>
      <c r="G47" s="105">
        <v>0</v>
      </c>
      <c r="H47" s="101">
        <v>27100</v>
      </c>
      <c r="I47" s="102">
        <v>29100</v>
      </c>
      <c r="J47" s="100">
        <v>28000</v>
      </c>
      <c r="K47" s="101">
        <v>28000</v>
      </c>
      <c r="L47" s="101">
        <v>27000</v>
      </c>
      <c r="M47" s="101">
        <v>27000</v>
      </c>
      <c r="N47" s="101">
        <v>26000</v>
      </c>
      <c r="O47" s="101">
        <v>26000</v>
      </c>
      <c r="P47" s="102">
        <v>25000</v>
      </c>
      <c r="Q47" s="376"/>
    </row>
    <row r="48" spans="2:17" ht="16.5" hidden="1" thickBot="1" x14ac:dyDescent="0.3">
      <c r="B48" s="99" t="s">
        <v>59</v>
      </c>
      <c r="C48" s="99"/>
      <c r="D48" s="99"/>
      <c r="E48" s="99"/>
      <c r="F48" s="100">
        <v>157600</v>
      </c>
      <c r="G48" s="101">
        <v>163100</v>
      </c>
      <c r="H48" s="101">
        <v>162700</v>
      </c>
      <c r="I48" s="102">
        <v>179900</v>
      </c>
      <c r="J48" s="100">
        <v>180000</v>
      </c>
      <c r="K48" s="101">
        <v>180000</v>
      </c>
      <c r="L48" s="101">
        <v>180000</v>
      </c>
      <c r="M48" s="101">
        <v>180000</v>
      </c>
      <c r="N48" s="101">
        <v>180000</v>
      </c>
      <c r="O48" s="101">
        <v>180000</v>
      </c>
      <c r="P48" s="102">
        <v>180000</v>
      </c>
      <c r="Q48" s="376"/>
    </row>
    <row r="49" spans="2:17" ht="16.5" hidden="1" thickBot="1" x14ac:dyDescent="0.3">
      <c r="B49" s="99" t="s">
        <v>60</v>
      </c>
      <c r="C49" s="99"/>
      <c r="D49" s="99"/>
      <c r="E49" s="99"/>
      <c r="F49" s="100">
        <v>99100</v>
      </c>
      <c r="G49" s="101">
        <v>104600</v>
      </c>
      <c r="H49" s="101">
        <v>106400</v>
      </c>
      <c r="I49" s="102">
        <v>90900</v>
      </c>
      <c r="J49" s="100">
        <v>95000</v>
      </c>
      <c r="K49" s="101">
        <v>95000</v>
      </c>
      <c r="L49" s="101">
        <v>95000</v>
      </c>
      <c r="M49" s="101">
        <v>95000</v>
      </c>
      <c r="N49" s="101">
        <v>95000</v>
      </c>
      <c r="O49" s="101">
        <v>95000</v>
      </c>
      <c r="P49" s="102">
        <v>95000</v>
      </c>
      <c r="Q49" s="376"/>
    </row>
    <row r="50" spans="2:17" ht="16.5" hidden="1" thickBot="1" x14ac:dyDescent="0.3">
      <c r="B50" s="99" t="s">
        <v>61</v>
      </c>
      <c r="C50" s="99"/>
      <c r="D50" s="99"/>
      <c r="E50" s="99"/>
      <c r="F50" s="100">
        <v>49600</v>
      </c>
      <c r="G50" s="101">
        <v>20300</v>
      </c>
      <c r="H50" s="101">
        <v>14000</v>
      </c>
      <c r="I50" s="102">
        <v>13000</v>
      </c>
      <c r="J50" s="104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6">
        <v>0</v>
      </c>
      <c r="Q50" s="377"/>
    </row>
    <row r="51" spans="2:17" ht="16.5" hidden="1" thickBot="1" x14ac:dyDescent="0.3">
      <c r="B51" s="99" t="s">
        <v>62</v>
      </c>
      <c r="C51" s="99"/>
      <c r="D51" s="99"/>
      <c r="E51" s="99"/>
      <c r="F51" s="104">
        <v>0</v>
      </c>
      <c r="G51" s="105">
        <v>0</v>
      </c>
      <c r="H51" s="101">
        <v>5900</v>
      </c>
      <c r="I51" s="102">
        <v>8700</v>
      </c>
      <c r="J51" s="100">
        <v>10000</v>
      </c>
      <c r="K51" s="101">
        <v>9000</v>
      </c>
      <c r="L51" s="101">
        <v>9000</v>
      </c>
      <c r="M51" s="101">
        <v>8000</v>
      </c>
      <c r="N51" s="101">
        <v>6000</v>
      </c>
      <c r="O51" s="105">
        <v>0</v>
      </c>
      <c r="P51" s="106">
        <v>0</v>
      </c>
      <c r="Q51" s="377"/>
    </row>
    <row r="52" spans="2:17" ht="16.5" hidden="1" thickBot="1" x14ac:dyDescent="0.3">
      <c r="B52" s="99" t="s">
        <v>63</v>
      </c>
      <c r="C52" s="99"/>
      <c r="D52" s="99"/>
      <c r="E52" s="99"/>
      <c r="F52" s="100">
        <v>30180</v>
      </c>
      <c r="G52" s="101">
        <v>24219</v>
      </c>
      <c r="H52" s="101">
        <v>10126</v>
      </c>
      <c r="I52" s="102">
        <v>53319</v>
      </c>
      <c r="J52" s="100">
        <v>47200</v>
      </c>
      <c r="K52" s="101">
        <v>55000</v>
      </c>
      <c r="L52" s="101">
        <v>60000</v>
      </c>
      <c r="M52" s="101">
        <v>60000</v>
      </c>
      <c r="N52" s="101">
        <v>60000</v>
      </c>
      <c r="O52" s="101">
        <v>60000</v>
      </c>
      <c r="P52" s="102">
        <v>60000</v>
      </c>
      <c r="Q52" s="376"/>
    </row>
    <row r="53" spans="2:17" ht="16.5" hidden="1" thickBot="1" x14ac:dyDescent="0.3">
      <c r="B53" s="99" t="s">
        <v>64</v>
      </c>
      <c r="C53" s="99"/>
      <c r="D53" s="99"/>
      <c r="E53" s="99"/>
      <c r="F53" s="100">
        <v>9820</v>
      </c>
      <c r="G53" s="101">
        <v>8146</v>
      </c>
      <c r="H53" s="101">
        <v>6349</v>
      </c>
      <c r="I53" s="102">
        <v>5692</v>
      </c>
      <c r="J53" s="100">
        <v>10800</v>
      </c>
      <c r="K53" s="101">
        <v>8000</v>
      </c>
      <c r="L53" s="101">
        <v>8000</v>
      </c>
      <c r="M53" s="101">
        <v>8000</v>
      </c>
      <c r="N53" s="101">
        <v>8000</v>
      </c>
      <c r="O53" s="101">
        <v>8000</v>
      </c>
      <c r="P53" s="102">
        <v>8000</v>
      </c>
      <c r="Q53" s="376"/>
    </row>
    <row r="54" spans="2:17" ht="16.5" hidden="1" thickBot="1" x14ac:dyDescent="0.3">
      <c r="B54" s="99" t="s">
        <v>65</v>
      </c>
      <c r="C54" s="99"/>
      <c r="D54" s="99"/>
      <c r="E54" s="99"/>
      <c r="F54" s="100">
        <v>6088</v>
      </c>
      <c r="G54" s="101">
        <v>8973</v>
      </c>
      <c r="H54" s="101">
        <v>9893</v>
      </c>
      <c r="I54" s="102">
        <v>9173</v>
      </c>
      <c r="J54" s="100">
        <v>7200</v>
      </c>
      <c r="K54" s="101">
        <v>9000</v>
      </c>
      <c r="L54" s="101">
        <v>9000</v>
      </c>
      <c r="M54" s="101">
        <v>9000</v>
      </c>
      <c r="N54" s="101">
        <v>9000</v>
      </c>
      <c r="O54" s="101">
        <v>9000</v>
      </c>
      <c r="P54" s="102">
        <v>9000</v>
      </c>
      <c r="Q54" s="376"/>
    </row>
    <row r="55" spans="2:17" ht="16.5" hidden="1" thickBot="1" x14ac:dyDescent="0.3">
      <c r="B55" s="99" t="s">
        <v>66</v>
      </c>
      <c r="C55" s="99"/>
      <c r="D55" s="99"/>
      <c r="E55" s="99"/>
      <c r="F55" s="100">
        <v>12900</v>
      </c>
      <c r="G55" s="101">
        <v>16400</v>
      </c>
      <c r="H55" s="101">
        <v>17100</v>
      </c>
      <c r="I55" s="102">
        <v>12300</v>
      </c>
      <c r="J55" s="100">
        <v>17000</v>
      </c>
      <c r="K55" s="101">
        <v>16000</v>
      </c>
      <c r="L55" s="101">
        <v>16000</v>
      </c>
      <c r="M55" s="101">
        <v>16000</v>
      </c>
      <c r="N55" s="101">
        <v>16000</v>
      </c>
      <c r="O55" s="101">
        <v>16000</v>
      </c>
      <c r="P55" s="102">
        <v>16000</v>
      </c>
      <c r="Q55" s="376"/>
    </row>
    <row r="56" spans="2:17" ht="16.5" hidden="1" thickBot="1" x14ac:dyDescent="0.3">
      <c r="B56" s="99" t="s">
        <v>67</v>
      </c>
      <c r="C56" s="99"/>
      <c r="D56" s="99"/>
      <c r="E56" s="99"/>
      <c r="F56" s="100">
        <v>11824</v>
      </c>
      <c r="G56" s="101">
        <v>14017</v>
      </c>
      <c r="H56" s="101">
        <v>14200</v>
      </c>
      <c r="I56" s="102">
        <v>13550</v>
      </c>
      <c r="J56" s="100">
        <v>19400</v>
      </c>
      <c r="K56" s="101">
        <v>18000</v>
      </c>
      <c r="L56" s="101">
        <v>18000</v>
      </c>
      <c r="M56" s="101">
        <v>18000</v>
      </c>
      <c r="N56" s="101">
        <v>18000</v>
      </c>
      <c r="O56" s="101">
        <v>18000</v>
      </c>
      <c r="P56" s="102">
        <v>18000</v>
      </c>
      <c r="Q56" s="376"/>
    </row>
    <row r="57" spans="2:17" ht="16.5" hidden="1" thickBot="1" x14ac:dyDescent="0.3">
      <c r="B57" s="99" t="s">
        <v>68</v>
      </c>
      <c r="C57" s="99"/>
      <c r="D57" s="99"/>
      <c r="E57" s="99"/>
      <c r="F57" s="100">
        <v>22600</v>
      </c>
      <c r="G57" s="101">
        <v>23050</v>
      </c>
      <c r="H57" s="101">
        <v>24800</v>
      </c>
      <c r="I57" s="102">
        <v>20000</v>
      </c>
      <c r="J57" s="100">
        <v>23000</v>
      </c>
      <c r="K57" s="101">
        <v>21900</v>
      </c>
      <c r="L57" s="101">
        <v>19700</v>
      </c>
      <c r="M57" s="101">
        <v>20600</v>
      </c>
      <c r="N57" s="101">
        <v>18300</v>
      </c>
      <c r="O57" s="101">
        <v>13500</v>
      </c>
      <c r="P57" s="102">
        <v>15000</v>
      </c>
      <c r="Q57" s="376"/>
    </row>
    <row r="58" spans="2:17" ht="16.5" hidden="1" thickBot="1" x14ac:dyDescent="0.3">
      <c r="B58" s="99" t="s">
        <v>69</v>
      </c>
      <c r="C58" s="99"/>
      <c r="D58" s="99"/>
      <c r="E58" s="99"/>
      <c r="F58" s="100">
        <v>38670</v>
      </c>
      <c r="G58" s="101">
        <v>42732</v>
      </c>
      <c r="H58" s="101">
        <v>46708</v>
      </c>
      <c r="I58" s="102">
        <v>48383</v>
      </c>
      <c r="J58" s="100">
        <v>49800</v>
      </c>
      <c r="K58" s="101">
        <v>50000</v>
      </c>
      <c r="L58" s="101">
        <v>50000</v>
      </c>
      <c r="M58" s="101">
        <v>50000</v>
      </c>
      <c r="N58" s="101">
        <v>50000</v>
      </c>
      <c r="O58" s="101">
        <v>25000</v>
      </c>
      <c r="P58" s="102">
        <v>25000</v>
      </c>
      <c r="Q58" s="376"/>
    </row>
    <row r="59" spans="2:17" ht="16.5" hidden="1" thickBot="1" x14ac:dyDescent="0.3">
      <c r="B59" s="99" t="s">
        <v>70</v>
      </c>
      <c r="C59" s="99"/>
      <c r="D59" s="99"/>
      <c r="E59" s="99"/>
      <c r="F59" s="100">
        <v>15496</v>
      </c>
      <c r="G59" s="101">
        <v>13409</v>
      </c>
      <c r="H59" s="101">
        <v>14287</v>
      </c>
      <c r="I59" s="102">
        <v>12906</v>
      </c>
      <c r="J59" s="100">
        <v>12000</v>
      </c>
      <c r="K59" s="101">
        <v>14000</v>
      </c>
      <c r="L59" s="101">
        <v>14000</v>
      </c>
      <c r="M59" s="101">
        <v>14000</v>
      </c>
      <c r="N59" s="101">
        <v>14000</v>
      </c>
      <c r="O59" s="101">
        <v>14000</v>
      </c>
      <c r="P59" s="102">
        <v>14000</v>
      </c>
      <c r="Q59" s="376"/>
    </row>
    <row r="60" spans="2:17" ht="16.5" hidden="1" thickBot="1" x14ac:dyDescent="0.3">
      <c r="B60" s="99" t="s">
        <v>71</v>
      </c>
      <c r="C60" s="99"/>
      <c r="D60" s="99"/>
      <c r="E60" s="99"/>
      <c r="F60" s="100">
        <v>10150</v>
      </c>
      <c r="G60" s="101">
        <v>11400</v>
      </c>
      <c r="H60" s="101">
        <v>12400</v>
      </c>
      <c r="I60" s="102">
        <v>16252</v>
      </c>
      <c r="J60" s="100">
        <v>19802</v>
      </c>
      <c r="K60" s="101">
        <v>14703</v>
      </c>
      <c r="L60" s="101">
        <v>14750</v>
      </c>
      <c r="M60" s="101">
        <v>19435</v>
      </c>
      <c r="N60" s="101">
        <v>16357</v>
      </c>
      <c r="O60" s="101">
        <v>15576</v>
      </c>
      <c r="P60" s="102">
        <v>16000</v>
      </c>
      <c r="Q60" s="376"/>
    </row>
    <row r="61" spans="2:17" ht="16.5" hidden="1" thickBot="1" x14ac:dyDescent="0.3">
      <c r="B61" s="99" t="s">
        <v>72</v>
      </c>
      <c r="C61" s="99"/>
      <c r="D61" s="99"/>
      <c r="E61" s="99"/>
      <c r="F61" s="100">
        <v>37570</v>
      </c>
      <c r="G61" s="101">
        <v>26498</v>
      </c>
      <c r="H61" s="101">
        <v>13820</v>
      </c>
      <c r="I61" s="102">
        <v>24479</v>
      </c>
      <c r="J61" s="100">
        <v>23000</v>
      </c>
      <c r="K61" s="101">
        <v>25000</v>
      </c>
      <c r="L61" s="101">
        <v>25000</v>
      </c>
      <c r="M61" s="101">
        <v>25000</v>
      </c>
      <c r="N61" s="101">
        <v>25000</v>
      </c>
      <c r="O61" s="101">
        <v>25000</v>
      </c>
      <c r="P61" s="102">
        <v>25000</v>
      </c>
      <c r="Q61" s="376"/>
    </row>
    <row r="62" spans="2:17" ht="16.5" hidden="1" thickBot="1" x14ac:dyDescent="0.3">
      <c r="B62" s="99" t="s">
        <v>73</v>
      </c>
      <c r="C62" s="99"/>
      <c r="D62" s="99"/>
      <c r="E62" s="99"/>
      <c r="F62" s="100">
        <v>33804</v>
      </c>
      <c r="G62" s="101">
        <v>34834</v>
      </c>
      <c r="H62" s="101">
        <v>26423</v>
      </c>
      <c r="I62" s="102">
        <v>27321</v>
      </c>
      <c r="J62" s="100">
        <v>21000</v>
      </c>
      <c r="K62" s="101">
        <v>25000</v>
      </c>
      <c r="L62" s="101">
        <v>25000</v>
      </c>
      <c r="M62" s="101">
        <v>25000</v>
      </c>
      <c r="N62" s="101">
        <v>25000</v>
      </c>
      <c r="O62" s="101">
        <v>25000</v>
      </c>
      <c r="P62" s="102">
        <v>25000</v>
      </c>
      <c r="Q62" s="376"/>
    </row>
    <row r="63" spans="2:17" ht="16.5" hidden="1" thickBot="1" x14ac:dyDescent="0.3">
      <c r="B63" s="99" t="s">
        <v>74</v>
      </c>
      <c r="C63" s="99"/>
      <c r="D63" s="99"/>
      <c r="E63" s="99"/>
      <c r="F63" s="100">
        <v>20741</v>
      </c>
      <c r="G63" s="101">
        <v>23870</v>
      </c>
      <c r="H63" s="101">
        <v>24006</v>
      </c>
      <c r="I63" s="102">
        <v>33823</v>
      </c>
      <c r="J63" s="100">
        <v>37000</v>
      </c>
      <c r="K63" s="101">
        <v>35000</v>
      </c>
      <c r="L63" s="101">
        <v>35000</v>
      </c>
      <c r="M63" s="101">
        <v>35000</v>
      </c>
      <c r="N63" s="101">
        <v>35000</v>
      </c>
      <c r="O63" s="101">
        <v>35000</v>
      </c>
      <c r="P63" s="102">
        <v>35000</v>
      </c>
      <c r="Q63" s="376"/>
    </row>
    <row r="64" spans="2:17" ht="16.5" hidden="1" thickBot="1" x14ac:dyDescent="0.3">
      <c r="B64" s="99" t="s">
        <v>75</v>
      </c>
      <c r="C64" s="99"/>
      <c r="D64" s="99"/>
      <c r="E64" s="99"/>
      <c r="F64" s="100">
        <v>32831</v>
      </c>
      <c r="G64" s="101">
        <v>31960</v>
      </c>
      <c r="H64" s="101">
        <v>36043</v>
      </c>
      <c r="I64" s="102">
        <v>35118</v>
      </c>
      <c r="J64" s="100">
        <v>40000</v>
      </c>
      <c r="K64" s="101">
        <v>35000</v>
      </c>
      <c r="L64" s="101">
        <v>35000</v>
      </c>
      <c r="M64" s="101">
        <v>35000</v>
      </c>
      <c r="N64" s="101">
        <v>35000</v>
      </c>
      <c r="O64" s="101">
        <v>35000</v>
      </c>
      <c r="P64" s="102">
        <v>35000</v>
      </c>
      <c r="Q64" s="376"/>
    </row>
    <row r="65" spans="2:19" ht="16.5" hidden="1" thickBot="1" x14ac:dyDescent="0.3">
      <c r="B65" s="99" t="s">
        <v>76</v>
      </c>
      <c r="C65" s="99"/>
      <c r="D65" s="99"/>
      <c r="E65" s="99"/>
      <c r="F65" s="100">
        <v>22639</v>
      </c>
      <c r="G65" s="101">
        <v>18890</v>
      </c>
      <c r="H65" s="101">
        <v>22941</v>
      </c>
      <c r="I65" s="102">
        <v>25180</v>
      </c>
      <c r="J65" s="100">
        <v>21000</v>
      </c>
      <c r="K65" s="101">
        <v>23000</v>
      </c>
      <c r="L65" s="101">
        <v>23000</v>
      </c>
      <c r="M65" s="101">
        <v>23000</v>
      </c>
      <c r="N65" s="101">
        <v>23000</v>
      </c>
      <c r="O65" s="101">
        <v>23000</v>
      </c>
      <c r="P65" s="102">
        <v>23000</v>
      </c>
      <c r="Q65" s="376"/>
    </row>
    <row r="66" spans="2:19" ht="15.75" hidden="1" x14ac:dyDescent="0.25">
      <c r="B66" s="107" t="s">
        <v>77</v>
      </c>
      <c r="C66" s="107"/>
      <c r="D66" s="107"/>
      <c r="E66" s="107"/>
      <c r="F66" s="108">
        <v>5382</v>
      </c>
      <c r="G66" s="109">
        <v>5498</v>
      </c>
      <c r="H66" s="109">
        <v>7287</v>
      </c>
      <c r="I66" s="110">
        <v>8053</v>
      </c>
      <c r="J66" s="108">
        <v>7000</v>
      </c>
      <c r="K66" s="109">
        <v>7000</v>
      </c>
      <c r="L66" s="109">
        <v>7000</v>
      </c>
      <c r="M66" s="109">
        <v>7000</v>
      </c>
      <c r="N66" s="109">
        <v>7000</v>
      </c>
      <c r="O66" s="109">
        <v>7000</v>
      </c>
      <c r="P66" s="110">
        <v>7000</v>
      </c>
      <c r="Q66" s="110"/>
    </row>
    <row r="67" spans="2:19" ht="15.75" hidden="1" x14ac:dyDescent="0.25">
      <c r="B67" s="111" t="s">
        <v>78</v>
      </c>
      <c r="C67" s="111"/>
      <c r="D67" s="111"/>
      <c r="E67" s="111"/>
      <c r="F67" s="112">
        <v>1171236</v>
      </c>
      <c r="G67" s="113">
        <v>1220781</v>
      </c>
      <c r="H67" s="113">
        <v>1194079</v>
      </c>
      <c r="I67" s="114">
        <v>1273694</v>
      </c>
      <c r="J67" s="112">
        <v>1198202</v>
      </c>
      <c r="K67" s="113">
        <v>1328603</v>
      </c>
      <c r="L67" s="113">
        <v>1330450</v>
      </c>
      <c r="M67" s="113">
        <v>1335035</v>
      </c>
      <c r="N67" s="113">
        <v>1352657</v>
      </c>
      <c r="O67" s="113">
        <v>1316076</v>
      </c>
      <c r="P67" s="114">
        <v>1317000</v>
      </c>
      <c r="Q67" s="378"/>
    </row>
    <row r="68" spans="2:19" ht="16.5" hidden="1" thickBot="1" x14ac:dyDescent="0.3">
      <c r="B68" s="107" t="s">
        <v>79</v>
      </c>
      <c r="C68" s="107"/>
      <c r="D68" s="107"/>
      <c r="E68" s="107"/>
      <c r="F68" s="108">
        <v>33020</v>
      </c>
      <c r="G68" s="109">
        <v>41767</v>
      </c>
      <c r="H68" s="109">
        <v>55988</v>
      </c>
      <c r="I68" s="110">
        <v>68355</v>
      </c>
      <c r="J68" s="100">
        <v>75000</v>
      </c>
      <c r="K68" s="101">
        <v>80000</v>
      </c>
      <c r="L68" s="101">
        <v>85000</v>
      </c>
      <c r="M68" s="101">
        <v>90000</v>
      </c>
      <c r="N68" s="101">
        <v>95000</v>
      </c>
      <c r="O68" s="101">
        <v>100000</v>
      </c>
      <c r="P68" s="102">
        <v>105000</v>
      </c>
      <c r="Q68" s="376"/>
    </row>
    <row r="69" spans="2:19" ht="15.75" hidden="1" x14ac:dyDescent="0.25">
      <c r="B69" s="111" t="s">
        <v>80</v>
      </c>
      <c r="C69" s="111"/>
      <c r="D69" s="111"/>
      <c r="E69" s="111"/>
      <c r="F69" s="112">
        <v>1204256</v>
      </c>
      <c r="G69" s="113">
        <v>1262548</v>
      </c>
      <c r="H69" s="113">
        <v>1250067</v>
      </c>
      <c r="I69" s="114">
        <v>1342049</v>
      </c>
      <c r="J69" s="115">
        <v>1273202</v>
      </c>
      <c r="K69" s="116">
        <v>1408603</v>
      </c>
      <c r="L69" s="116">
        <v>1415450</v>
      </c>
      <c r="M69" s="116">
        <v>1425035</v>
      </c>
      <c r="N69" s="116">
        <v>1447657</v>
      </c>
      <c r="O69" s="116">
        <v>1416076</v>
      </c>
      <c r="P69" s="117">
        <v>1422000</v>
      </c>
      <c r="Q69" s="117"/>
    </row>
    <row r="70" spans="2:19" ht="15.75" hidden="1" x14ac:dyDescent="0.25">
      <c r="B70" s="118" t="s">
        <v>81</v>
      </c>
      <c r="C70" s="118"/>
      <c r="D70" s="118"/>
      <c r="E70" s="118"/>
      <c r="F70" s="119"/>
      <c r="G70" s="120">
        <v>4.5999999999999999E-2</v>
      </c>
      <c r="H70" s="120">
        <v>-0.01</v>
      </c>
      <c r="I70" s="121">
        <v>6.9000000000000006E-2</v>
      </c>
      <c r="J70" s="122">
        <v>-5.3999999999999999E-2</v>
      </c>
      <c r="K70" s="120">
        <v>9.6000000000000002E-2</v>
      </c>
      <c r="L70" s="120">
        <v>5.0000000000000001E-3</v>
      </c>
      <c r="M70" s="120">
        <v>7.0000000000000001E-3</v>
      </c>
      <c r="N70" s="120">
        <v>1.6E-2</v>
      </c>
      <c r="O70" s="120">
        <v>-2.1999999999999999E-2</v>
      </c>
      <c r="P70" s="121">
        <v>4.0000000000000001E-3</v>
      </c>
      <c r="Q70" s="121"/>
    </row>
    <row r="71" spans="2:19" hidden="1" x14ac:dyDescent="0.25">
      <c r="B71" s="88"/>
      <c r="C71" s="88"/>
      <c r="D71" s="88"/>
      <c r="E71" s="88"/>
      <c r="F71" s="87"/>
      <c r="G71" s="89"/>
      <c r="H71" s="89"/>
      <c r="I71" s="90"/>
    </row>
    <row r="72" spans="2:19" hidden="1" x14ac:dyDescent="0.25"/>
    <row r="73" spans="2:19" ht="18.75" x14ac:dyDescent="0.3">
      <c r="B73" s="266" t="s">
        <v>210</v>
      </c>
      <c r="S73" s="280" t="s">
        <v>214</v>
      </c>
    </row>
    <row r="75" spans="2:19" ht="15.75" x14ac:dyDescent="0.25">
      <c r="B75" s="5" t="s">
        <v>0</v>
      </c>
      <c r="C75" s="6" t="s">
        <v>1</v>
      </c>
      <c r="D75" s="6" t="s">
        <v>2</v>
      </c>
      <c r="E75" s="6" t="s">
        <v>206</v>
      </c>
      <c r="F75" s="125">
        <v>2012</v>
      </c>
      <c r="G75" s="125">
        <v>2013</v>
      </c>
      <c r="H75" s="125">
        <v>2014</v>
      </c>
      <c r="I75" s="126">
        <v>2015</v>
      </c>
      <c r="J75" s="343">
        <v>2016</v>
      </c>
      <c r="K75" s="125">
        <v>2017</v>
      </c>
      <c r="L75" s="125">
        <v>2018</v>
      </c>
      <c r="M75" s="125">
        <v>2019</v>
      </c>
      <c r="N75" s="125">
        <v>2020</v>
      </c>
      <c r="O75" s="125">
        <v>2021</v>
      </c>
      <c r="P75" s="126">
        <v>2022</v>
      </c>
      <c r="Q75" s="373"/>
      <c r="R75" s="5" t="s">
        <v>298</v>
      </c>
      <c r="S75" s="383" t="s">
        <v>294</v>
      </c>
    </row>
    <row r="76" spans="2:19" ht="16.5" thickBot="1" x14ac:dyDescent="0.3">
      <c r="B76" s="27"/>
      <c r="C76" s="6"/>
      <c r="D76" s="6"/>
      <c r="E76" s="276" t="s">
        <v>207</v>
      </c>
      <c r="F76" s="125"/>
      <c r="G76" s="125"/>
      <c r="H76" s="125"/>
      <c r="I76" s="126"/>
      <c r="J76" s="343"/>
      <c r="K76" s="125"/>
      <c r="L76" s="125"/>
      <c r="M76" s="125"/>
      <c r="N76" s="125"/>
      <c r="O76" s="125"/>
      <c r="P76" s="126"/>
      <c r="Q76" s="373"/>
      <c r="R76" s="5" t="s">
        <v>299</v>
      </c>
    </row>
    <row r="77" spans="2:19" ht="15.75" x14ac:dyDescent="0.25">
      <c r="B77" s="91" t="s">
        <v>52</v>
      </c>
      <c r="C77" s="238" t="s">
        <v>160</v>
      </c>
      <c r="D77" s="342" t="s">
        <v>199</v>
      </c>
      <c r="E77" s="342" t="s">
        <v>19</v>
      </c>
      <c r="F77" s="127">
        <f t="shared" ref="F77:I102" si="29">+F8</f>
        <v>219</v>
      </c>
      <c r="G77" s="127">
        <f t="shared" si="29"/>
        <v>260.39999999999998</v>
      </c>
      <c r="H77" s="127">
        <f t="shared" si="29"/>
        <v>211</v>
      </c>
      <c r="I77" s="128">
        <f t="shared" si="29"/>
        <v>235</v>
      </c>
      <c r="J77" s="349">
        <v>198</v>
      </c>
      <c r="K77" s="350">
        <v>345</v>
      </c>
      <c r="L77" s="350">
        <v>355</v>
      </c>
      <c r="M77" s="350">
        <v>355</v>
      </c>
      <c r="N77" s="350">
        <v>355</v>
      </c>
      <c r="O77" s="127">
        <f t="shared" ref="O77:P79" si="30">+O8</f>
        <v>376</v>
      </c>
      <c r="P77" s="128">
        <f t="shared" si="30"/>
        <v>376</v>
      </c>
      <c r="Q77" s="374"/>
      <c r="R77" s="388">
        <v>261.5</v>
      </c>
      <c r="S77" t="s">
        <v>300</v>
      </c>
    </row>
    <row r="78" spans="2:19" ht="15.75" x14ac:dyDescent="0.25">
      <c r="B78" s="353" t="s">
        <v>53</v>
      </c>
      <c r="C78" s="55" t="s">
        <v>148</v>
      </c>
      <c r="D78" s="56" t="s">
        <v>199</v>
      </c>
      <c r="E78" s="17" t="s">
        <v>208</v>
      </c>
      <c r="F78" s="211">
        <f t="shared" si="29"/>
        <v>108</v>
      </c>
      <c r="G78" s="211">
        <f t="shared" si="29"/>
        <v>155</v>
      </c>
      <c r="H78" s="211">
        <f t="shared" si="29"/>
        <v>167</v>
      </c>
      <c r="I78" s="212">
        <f t="shared" si="29"/>
        <v>177</v>
      </c>
      <c r="J78" s="365">
        <v>173.8</v>
      </c>
      <c r="K78" s="211">
        <f t="shared" ref="K78:N79" si="31">+K9</f>
        <v>180</v>
      </c>
      <c r="L78" s="211">
        <f t="shared" si="31"/>
        <v>175</v>
      </c>
      <c r="M78" s="211">
        <f t="shared" si="31"/>
        <v>175</v>
      </c>
      <c r="N78" s="211">
        <f t="shared" si="31"/>
        <v>175</v>
      </c>
      <c r="O78" s="211">
        <f t="shared" si="30"/>
        <v>175</v>
      </c>
      <c r="P78" s="212">
        <f t="shared" si="30"/>
        <v>175</v>
      </c>
      <c r="Q78" s="374"/>
      <c r="R78" s="388">
        <v>181.1</v>
      </c>
      <c r="S78" t="s">
        <v>307</v>
      </c>
    </row>
    <row r="79" spans="2:19" ht="15.75" x14ac:dyDescent="0.25">
      <c r="B79" s="124" t="s">
        <v>54</v>
      </c>
      <c r="C79" s="34" t="s">
        <v>148</v>
      </c>
      <c r="D79" s="35" t="s">
        <v>199</v>
      </c>
      <c r="E79" s="35" t="s">
        <v>208</v>
      </c>
      <c r="F79" s="129">
        <f t="shared" si="29"/>
        <v>70.7</v>
      </c>
      <c r="G79" s="129">
        <f t="shared" si="29"/>
        <v>61.7</v>
      </c>
      <c r="H79" s="129">
        <f t="shared" si="29"/>
        <v>64.900000000000006</v>
      </c>
      <c r="I79" s="130">
        <f t="shared" si="29"/>
        <v>61.7</v>
      </c>
      <c r="J79" s="366">
        <v>62.5</v>
      </c>
      <c r="K79" s="129">
        <f t="shared" si="31"/>
        <v>65</v>
      </c>
      <c r="L79" s="129">
        <f t="shared" si="31"/>
        <v>65</v>
      </c>
      <c r="M79" s="129">
        <f t="shared" si="31"/>
        <v>65</v>
      </c>
      <c r="N79" s="129">
        <f t="shared" si="31"/>
        <v>65</v>
      </c>
      <c r="O79" s="129">
        <f t="shared" si="30"/>
        <v>65</v>
      </c>
      <c r="P79" s="130">
        <f t="shared" si="30"/>
        <v>65</v>
      </c>
      <c r="Q79" s="374"/>
      <c r="R79" s="388">
        <v>64.099999999999994</v>
      </c>
      <c r="S79" t="s">
        <v>308</v>
      </c>
    </row>
    <row r="80" spans="2:19" ht="15.75" x14ac:dyDescent="0.25">
      <c r="B80" s="213" t="s">
        <v>55</v>
      </c>
      <c r="C80" s="75" t="s">
        <v>148</v>
      </c>
      <c r="D80" s="76" t="s">
        <v>199</v>
      </c>
      <c r="E80" s="76" t="s">
        <v>208</v>
      </c>
      <c r="F80" s="218">
        <f t="shared" si="29"/>
        <v>44</v>
      </c>
      <c r="G80" s="218">
        <f t="shared" si="29"/>
        <v>44.3</v>
      </c>
      <c r="H80" s="218">
        <f t="shared" si="29"/>
        <v>37.9</v>
      </c>
      <c r="I80" s="219">
        <f t="shared" si="29"/>
        <v>30.3</v>
      </c>
      <c r="J80" s="367">
        <v>22.3</v>
      </c>
      <c r="K80" s="393">
        <v>25</v>
      </c>
      <c r="L80" s="393">
        <v>25</v>
      </c>
      <c r="M80" s="393">
        <v>25</v>
      </c>
      <c r="N80" s="393">
        <v>25</v>
      </c>
      <c r="O80" s="393">
        <v>25</v>
      </c>
      <c r="P80" s="394">
        <v>25</v>
      </c>
      <c r="Q80" s="374"/>
      <c r="R80" s="388">
        <v>23.8</v>
      </c>
      <c r="S80" t="s">
        <v>304</v>
      </c>
    </row>
    <row r="81" spans="2:22" ht="15.75" x14ac:dyDescent="0.25">
      <c r="B81" s="217" t="s">
        <v>56</v>
      </c>
      <c r="C81" s="72" t="s">
        <v>82</v>
      </c>
      <c r="D81" s="395" t="s">
        <v>318</v>
      </c>
      <c r="E81" s="299" t="s">
        <v>208</v>
      </c>
      <c r="F81" s="207">
        <f t="shared" si="29"/>
        <v>87.617000000000004</v>
      </c>
      <c r="G81" s="207">
        <f t="shared" si="29"/>
        <v>81.539000000000001</v>
      </c>
      <c r="H81" s="207">
        <f t="shared" si="29"/>
        <v>85.037000000000006</v>
      </c>
      <c r="I81" s="208">
        <f t="shared" si="29"/>
        <v>77.628</v>
      </c>
      <c r="J81" s="372">
        <f t="shared" ref="J81:P81" si="32">+J12</f>
        <v>0</v>
      </c>
      <c r="K81" s="207">
        <f t="shared" si="32"/>
        <v>0</v>
      </c>
      <c r="L81" s="207">
        <f t="shared" si="32"/>
        <v>0</v>
      </c>
      <c r="M81" s="207">
        <f t="shared" si="32"/>
        <v>0</v>
      </c>
      <c r="N81" s="207">
        <f t="shared" si="32"/>
        <v>0</v>
      </c>
      <c r="O81" s="207">
        <f t="shared" si="32"/>
        <v>0</v>
      </c>
      <c r="P81" s="208">
        <f t="shared" si="32"/>
        <v>0</v>
      </c>
      <c r="Q81" s="374"/>
      <c r="R81" s="388"/>
      <c r="S81" t="s">
        <v>325</v>
      </c>
    </row>
    <row r="82" spans="2:22" ht="15.75" x14ac:dyDescent="0.25">
      <c r="B82" s="123" t="s">
        <v>57</v>
      </c>
      <c r="C82" s="34" t="s">
        <v>82</v>
      </c>
      <c r="D82" s="35" t="s">
        <v>199</v>
      </c>
      <c r="E82" s="35" t="s">
        <v>208</v>
      </c>
      <c r="F82" s="129">
        <f t="shared" si="29"/>
        <v>24.923999999999999</v>
      </c>
      <c r="G82" s="129">
        <f t="shared" si="29"/>
        <v>25.946000000000002</v>
      </c>
      <c r="H82" s="129">
        <f t="shared" si="29"/>
        <v>25.759</v>
      </c>
      <c r="I82" s="130">
        <f t="shared" si="29"/>
        <v>24.917000000000002</v>
      </c>
      <c r="J82" s="370">
        <f>27.3+1.6</f>
        <v>28.900000000000002</v>
      </c>
      <c r="K82" s="129">
        <f t="shared" ref="K82:P82" si="33">+K13</f>
        <v>25</v>
      </c>
      <c r="L82" s="129">
        <f t="shared" si="33"/>
        <v>25</v>
      </c>
      <c r="M82" s="129">
        <f t="shared" si="33"/>
        <v>25</v>
      </c>
      <c r="N82" s="129">
        <f t="shared" si="33"/>
        <v>25</v>
      </c>
      <c r="O82" s="129">
        <f t="shared" si="33"/>
        <v>25</v>
      </c>
      <c r="P82" s="130">
        <f t="shared" si="33"/>
        <v>25</v>
      </c>
      <c r="Q82" s="374"/>
      <c r="R82" s="388"/>
    </row>
    <row r="83" spans="2:22" ht="15.75" x14ac:dyDescent="0.25">
      <c r="B83" s="216" t="s">
        <v>58</v>
      </c>
      <c r="C83" s="220" t="s">
        <v>149</v>
      </c>
      <c r="D83" s="322" t="s">
        <v>199</v>
      </c>
      <c r="E83" s="322" t="s">
        <v>208</v>
      </c>
      <c r="F83" s="203">
        <f t="shared" si="29"/>
        <v>0</v>
      </c>
      <c r="G83" s="203">
        <f t="shared" si="29"/>
        <v>0</v>
      </c>
      <c r="H83" s="203">
        <f t="shared" si="29"/>
        <v>27.1</v>
      </c>
      <c r="I83" s="204">
        <f t="shared" si="29"/>
        <v>29.1</v>
      </c>
      <c r="J83" s="363">
        <v>33</v>
      </c>
      <c r="K83" s="364">
        <v>34</v>
      </c>
      <c r="L83" s="203">
        <f t="shared" ref="L83:P85" si="34">+L14</f>
        <v>27</v>
      </c>
      <c r="M83" s="203">
        <f t="shared" si="34"/>
        <v>27</v>
      </c>
      <c r="N83" s="203">
        <f t="shared" si="34"/>
        <v>26</v>
      </c>
      <c r="O83" s="203">
        <f t="shared" si="34"/>
        <v>26</v>
      </c>
      <c r="P83" s="204">
        <f t="shared" si="34"/>
        <v>25</v>
      </c>
      <c r="Q83" s="374"/>
      <c r="R83" s="388">
        <v>33.5</v>
      </c>
    </row>
    <row r="84" spans="2:22" ht="15.75" x14ac:dyDescent="0.25">
      <c r="B84" s="209" t="s">
        <v>59</v>
      </c>
      <c r="C84" s="16" t="s">
        <v>150</v>
      </c>
      <c r="D84" s="17" t="s">
        <v>199</v>
      </c>
      <c r="E84" s="17" t="s">
        <v>208</v>
      </c>
      <c r="F84" s="211">
        <f t="shared" si="29"/>
        <v>157.6</v>
      </c>
      <c r="G84" s="211">
        <f t="shared" si="29"/>
        <v>163.1</v>
      </c>
      <c r="H84" s="211">
        <f t="shared" si="29"/>
        <v>162.69999999999999</v>
      </c>
      <c r="I84" s="212">
        <f t="shared" si="29"/>
        <v>179.9</v>
      </c>
      <c r="J84" s="382">
        <v>165</v>
      </c>
      <c r="K84" s="211">
        <f>+K15</f>
        <v>180</v>
      </c>
      <c r="L84" s="211">
        <f t="shared" si="34"/>
        <v>180</v>
      </c>
      <c r="M84" s="211">
        <f t="shared" si="34"/>
        <v>180</v>
      </c>
      <c r="N84" s="211">
        <f t="shared" si="34"/>
        <v>180</v>
      </c>
      <c r="O84" s="211">
        <f t="shared" si="34"/>
        <v>180</v>
      </c>
      <c r="P84" s="212">
        <f t="shared" si="34"/>
        <v>180</v>
      </c>
      <c r="Q84" s="374"/>
      <c r="R84" s="388">
        <v>168.6</v>
      </c>
      <c r="V84" t="s">
        <v>96</v>
      </c>
    </row>
    <row r="85" spans="2:22" ht="15.75" x14ac:dyDescent="0.25">
      <c r="B85" s="124" t="s">
        <v>60</v>
      </c>
      <c r="C85" s="34" t="s">
        <v>150</v>
      </c>
      <c r="D85" s="35" t="s">
        <v>199</v>
      </c>
      <c r="E85" s="35" t="s">
        <v>208</v>
      </c>
      <c r="F85" s="129">
        <f t="shared" si="29"/>
        <v>99.1</v>
      </c>
      <c r="G85" s="129">
        <f t="shared" si="29"/>
        <v>104.6</v>
      </c>
      <c r="H85" s="129">
        <f t="shared" si="29"/>
        <v>106.4</v>
      </c>
      <c r="I85" s="130">
        <f t="shared" si="29"/>
        <v>90.9</v>
      </c>
      <c r="J85" s="366">
        <v>96</v>
      </c>
      <c r="K85" s="129">
        <f>+K16</f>
        <v>95</v>
      </c>
      <c r="L85" s="129">
        <f t="shared" si="34"/>
        <v>95</v>
      </c>
      <c r="M85" s="129">
        <f t="shared" si="34"/>
        <v>95</v>
      </c>
      <c r="N85" s="129">
        <f t="shared" si="34"/>
        <v>95</v>
      </c>
      <c r="O85" s="129">
        <f t="shared" si="34"/>
        <v>95</v>
      </c>
      <c r="P85" s="130">
        <f t="shared" si="34"/>
        <v>95</v>
      </c>
      <c r="Q85" s="374"/>
      <c r="R85" s="388">
        <v>98.4</v>
      </c>
      <c r="V85" t="s">
        <v>96</v>
      </c>
    </row>
    <row r="86" spans="2:22" ht="15.75" x14ac:dyDescent="0.25">
      <c r="B86" s="124" t="s">
        <v>61</v>
      </c>
      <c r="C86" s="34" t="s">
        <v>150</v>
      </c>
      <c r="D86" s="438" t="s">
        <v>311</v>
      </c>
      <c r="E86" s="35" t="s">
        <v>19</v>
      </c>
      <c r="F86" s="129">
        <f t="shared" si="29"/>
        <v>49.6</v>
      </c>
      <c r="G86" s="129">
        <f t="shared" si="29"/>
        <v>20.3</v>
      </c>
      <c r="H86" s="129">
        <f t="shared" si="29"/>
        <v>14</v>
      </c>
      <c r="I86" s="130">
        <f t="shared" si="29"/>
        <v>13</v>
      </c>
      <c r="J86" s="366">
        <v>3</v>
      </c>
      <c r="K86" s="384">
        <v>5</v>
      </c>
      <c r="L86" s="384">
        <v>5</v>
      </c>
      <c r="M86" s="384">
        <v>5</v>
      </c>
      <c r="N86" s="129">
        <f t="shared" ref="N86:P98" si="35">+N17</f>
        <v>0</v>
      </c>
      <c r="O86" s="129">
        <f t="shared" si="35"/>
        <v>0</v>
      </c>
      <c r="P86" s="130">
        <f t="shared" si="35"/>
        <v>0</v>
      </c>
      <c r="Q86" s="374"/>
      <c r="R86" s="388"/>
      <c r="S86" t="s">
        <v>310</v>
      </c>
    </row>
    <row r="87" spans="2:22" ht="15.75" x14ac:dyDescent="0.25">
      <c r="B87" s="213" t="s">
        <v>62</v>
      </c>
      <c r="C87" s="22" t="s">
        <v>150</v>
      </c>
      <c r="D87" s="23" t="s">
        <v>199</v>
      </c>
      <c r="E87" s="23" t="s">
        <v>19</v>
      </c>
      <c r="F87" s="218">
        <f t="shared" si="29"/>
        <v>0</v>
      </c>
      <c r="G87" s="218">
        <f t="shared" si="29"/>
        <v>0</v>
      </c>
      <c r="H87" s="218">
        <f t="shared" si="29"/>
        <v>5.9</v>
      </c>
      <c r="I87" s="219">
        <f t="shared" si="29"/>
        <v>8.6999999999999993</v>
      </c>
      <c r="J87" s="367">
        <v>9.8000000000000007</v>
      </c>
      <c r="K87" s="218">
        <f>+K18</f>
        <v>9</v>
      </c>
      <c r="L87" s="218">
        <f>+L18</f>
        <v>9</v>
      </c>
      <c r="M87" s="218">
        <f>+M18</f>
        <v>8</v>
      </c>
      <c r="N87" s="218">
        <f t="shared" si="35"/>
        <v>6</v>
      </c>
      <c r="O87" s="218">
        <f t="shared" si="35"/>
        <v>0</v>
      </c>
      <c r="P87" s="219">
        <f t="shared" si="35"/>
        <v>0</v>
      </c>
      <c r="Q87" s="374"/>
      <c r="R87" s="388">
        <v>10.6</v>
      </c>
    </row>
    <row r="88" spans="2:22" ht="15.75" x14ac:dyDescent="0.25">
      <c r="B88" s="205" t="s">
        <v>63</v>
      </c>
      <c r="C88" s="72" t="s">
        <v>151</v>
      </c>
      <c r="D88" s="299" t="s">
        <v>199</v>
      </c>
      <c r="E88" s="299" t="s">
        <v>208</v>
      </c>
      <c r="F88" s="207">
        <f t="shared" si="29"/>
        <v>30.18</v>
      </c>
      <c r="G88" s="207">
        <f t="shared" si="29"/>
        <v>24.219000000000001</v>
      </c>
      <c r="H88" s="207">
        <f t="shared" si="29"/>
        <v>10.125999999999999</v>
      </c>
      <c r="I88" s="208">
        <f t="shared" si="29"/>
        <v>53.319000000000003</v>
      </c>
      <c r="J88" s="372">
        <v>57.4</v>
      </c>
      <c r="K88" s="387">
        <v>60</v>
      </c>
      <c r="L88" s="207">
        <f t="shared" ref="L88:M90" si="36">+L19</f>
        <v>60</v>
      </c>
      <c r="M88" s="207">
        <f t="shared" si="36"/>
        <v>60</v>
      </c>
      <c r="N88" s="207">
        <f t="shared" si="35"/>
        <v>60</v>
      </c>
      <c r="O88" s="207">
        <f t="shared" si="35"/>
        <v>60</v>
      </c>
      <c r="P88" s="208">
        <f t="shared" si="35"/>
        <v>60</v>
      </c>
      <c r="Q88" s="374"/>
      <c r="R88" s="388">
        <v>58.5</v>
      </c>
    </row>
    <row r="89" spans="2:22" ht="15.75" x14ac:dyDescent="0.25">
      <c r="B89" s="124" t="s">
        <v>64</v>
      </c>
      <c r="C89" s="34" t="s">
        <v>151</v>
      </c>
      <c r="D89" s="35" t="s">
        <v>199</v>
      </c>
      <c r="E89" s="35" t="s">
        <v>208</v>
      </c>
      <c r="F89" s="129">
        <f t="shared" si="29"/>
        <v>9.82</v>
      </c>
      <c r="G89" s="129">
        <f t="shared" si="29"/>
        <v>8.1460000000000008</v>
      </c>
      <c r="H89" s="129">
        <f t="shared" si="29"/>
        <v>6.3490000000000002</v>
      </c>
      <c r="I89" s="130">
        <f t="shared" si="29"/>
        <v>5.6920000000000002</v>
      </c>
      <c r="J89" s="366">
        <v>7.2</v>
      </c>
      <c r="K89" s="414">
        <v>7.5</v>
      </c>
      <c r="L89" s="129">
        <f t="shared" si="36"/>
        <v>8</v>
      </c>
      <c r="M89" s="129">
        <f t="shared" si="36"/>
        <v>8</v>
      </c>
      <c r="N89" s="129">
        <f t="shared" si="35"/>
        <v>8</v>
      </c>
      <c r="O89" s="129">
        <f t="shared" si="35"/>
        <v>8</v>
      </c>
      <c r="P89" s="130">
        <f t="shared" si="35"/>
        <v>8</v>
      </c>
      <c r="Q89" s="374"/>
      <c r="R89" s="388">
        <v>9.1</v>
      </c>
      <c r="S89" t="s">
        <v>323</v>
      </c>
      <c r="U89" t="s">
        <v>196</v>
      </c>
    </row>
    <row r="90" spans="2:22" ht="15.75" x14ac:dyDescent="0.25">
      <c r="B90" s="201" t="s">
        <v>65</v>
      </c>
      <c r="C90" s="202" t="s">
        <v>151</v>
      </c>
      <c r="D90" s="357" t="s">
        <v>199</v>
      </c>
      <c r="E90" s="322" t="s">
        <v>208</v>
      </c>
      <c r="F90" s="203">
        <f t="shared" si="29"/>
        <v>6.0880000000000001</v>
      </c>
      <c r="G90" s="203">
        <f t="shared" si="29"/>
        <v>8.9730000000000008</v>
      </c>
      <c r="H90" s="203">
        <f t="shared" si="29"/>
        <v>9.8930000000000007</v>
      </c>
      <c r="I90" s="204">
        <f t="shared" si="29"/>
        <v>9.173</v>
      </c>
      <c r="J90" s="371">
        <v>10.4</v>
      </c>
      <c r="K90" s="415">
        <v>10</v>
      </c>
      <c r="L90" s="203">
        <f t="shared" si="36"/>
        <v>9</v>
      </c>
      <c r="M90" s="203">
        <f t="shared" si="36"/>
        <v>9</v>
      </c>
      <c r="N90" s="203">
        <f t="shared" si="35"/>
        <v>9</v>
      </c>
      <c r="O90" s="203">
        <f t="shared" si="35"/>
        <v>9</v>
      </c>
      <c r="P90" s="204">
        <f t="shared" si="35"/>
        <v>9</v>
      </c>
      <c r="Q90" s="374"/>
      <c r="R90" s="388">
        <v>11.4</v>
      </c>
      <c r="S90" t="s">
        <v>323</v>
      </c>
    </row>
    <row r="91" spans="2:22" ht="15.75" x14ac:dyDescent="0.25">
      <c r="B91" s="209" t="s">
        <v>66</v>
      </c>
      <c r="C91" s="210" t="s">
        <v>152</v>
      </c>
      <c r="D91" s="359" t="s">
        <v>199</v>
      </c>
      <c r="E91" s="17" t="s">
        <v>208</v>
      </c>
      <c r="F91" s="211">
        <f t="shared" si="29"/>
        <v>12.9</v>
      </c>
      <c r="G91" s="211">
        <f t="shared" si="29"/>
        <v>16.399999999999999</v>
      </c>
      <c r="H91" s="211">
        <f t="shared" si="29"/>
        <v>17.100000000000001</v>
      </c>
      <c r="I91" s="212">
        <f t="shared" si="29"/>
        <v>12.3</v>
      </c>
      <c r="J91" s="382">
        <v>15.5</v>
      </c>
      <c r="K91" s="413">
        <v>18</v>
      </c>
      <c r="L91" s="413">
        <v>18</v>
      </c>
      <c r="M91" s="413">
        <v>18</v>
      </c>
      <c r="N91" s="211">
        <f t="shared" si="35"/>
        <v>16</v>
      </c>
      <c r="O91" s="211">
        <f t="shared" si="35"/>
        <v>16</v>
      </c>
      <c r="P91" s="212">
        <f t="shared" si="35"/>
        <v>16</v>
      </c>
      <c r="Q91" s="374"/>
      <c r="R91" s="388">
        <v>20.5</v>
      </c>
      <c r="S91" t="s">
        <v>321</v>
      </c>
    </row>
    <row r="92" spans="2:22" ht="15.75" x14ac:dyDescent="0.25">
      <c r="B92" s="213" t="s">
        <v>67</v>
      </c>
      <c r="C92" s="214" t="s">
        <v>152</v>
      </c>
      <c r="D92" s="360" t="s">
        <v>199</v>
      </c>
      <c r="E92" s="76" t="s">
        <v>208</v>
      </c>
      <c r="F92" s="218">
        <f t="shared" si="29"/>
        <v>11.824</v>
      </c>
      <c r="G92" s="218">
        <f t="shared" si="29"/>
        <v>14.016999999999999</v>
      </c>
      <c r="H92" s="218">
        <f t="shared" si="29"/>
        <v>14.2</v>
      </c>
      <c r="I92" s="219">
        <f t="shared" si="29"/>
        <v>13.55</v>
      </c>
      <c r="J92" s="386">
        <v>20</v>
      </c>
      <c r="K92" s="410">
        <v>20</v>
      </c>
      <c r="L92" s="410">
        <v>23</v>
      </c>
      <c r="M92" s="410">
        <v>22</v>
      </c>
      <c r="N92" s="218">
        <f t="shared" si="35"/>
        <v>18</v>
      </c>
      <c r="O92" s="218">
        <f t="shared" si="35"/>
        <v>18</v>
      </c>
      <c r="P92" s="219">
        <f t="shared" si="35"/>
        <v>18</v>
      </c>
      <c r="Q92" s="374"/>
      <c r="R92" s="388">
        <v>22.9</v>
      </c>
      <c r="S92" t="s">
        <v>322</v>
      </c>
    </row>
    <row r="93" spans="2:22" ht="15.75" x14ac:dyDescent="0.25">
      <c r="B93" s="205" t="s">
        <v>68</v>
      </c>
      <c r="C93" s="206" t="s">
        <v>153</v>
      </c>
      <c r="D93" s="358" t="s">
        <v>199</v>
      </c>
      <c r="E93" s="299" t="s">
        <v>208</v>
      </c>
      <c r="F93" s="207">
        <f t="shared" si="29"/>
        <v>22.6</v>
      </c>
      <c r="G93" s="207">
        <f t="shared" si="29"/>
        <v>23.05</v>
      </c>
      <c r="H93" s="207">
        <f t="shared" si="29"/>
        <v>24.8</v>
      </c>
      <c r="I93" s="208">
        <f t="shared" si="29"/>
        <v>20</v>
      </c>
      <c r="J93" s="391">
        <v>24.9</v>
      </c>
      <c r="K93" s="416">
        <v>28</v>
      </c>
      <c r="L93" s="207">
        <f t="shared" ref="L93:M98" si="37">+L24</f>
        <v>19.7</v>
      </c>
      <c r="M93" s="207">
        <f t="shared" si="37"/>
        <v>20.6</v>
      </c>
      <c r="N93" s="207">
        <f t="shared" si="35"/>
        <v>18.3</v>
      </c>
      <c r="O93" s="207">
        <f t="shared" si="35"/>
        <v>13.5</v>
      </c>
      <c r="P93" s="208">
        <f t="shared" si="35"/>
        <v>15</v>
      </c>
      <c r="Q93" s="374"/>
      <c r="R93" s="388">
        <v>27.2</v>
      </c>
      <c r="S93" t="s">
        <v>324</v>
      </c>
    </row>
    <row r="94" spans="2:22" ht="16.5" customHeight="1" x14ac:dyDescent="0.25">
      <c r="B94" s="124" t="s">
        <v>69</v>
      </c>
      <c r="C94" s="138" t="s">
        <v>145</v>
      </c>
      <c r="D94" s="341" t="s">
        <v>199</v>
      </c>
      <c r="E94" s="35" t="s">
        <v>208</v>
      </c>
      <c r="F94" s="129">
        <f t="shared" si="29"/>
        <v>38.67</v>
      </c>
      <c r="G94" s="129">
        <f t="shared" si="29"/>
        <v>42.731999999999999</v>
      </c>
      <c r="H94" s="129">
        <f t="shared" si="29"/>
        <v>46.707999999999998</v>
      </c>
      <c r="I94" s="130">
        <f t="shared" si="29"/>
        <v>48.383000000000003</v>
      </c>
      <c r="J94" s="370">
        <v>47</v>
      </c>
      <c r="K94" s="129">
        <f>+K25</f>
        <v>50</v>
      </c>
      <c r="L94" s="129">
        <f t="shared" si="37"/>
        <v>50</v>
      </c>
      <c r="M94" s="129">
        <f t="shared" si="37"/>
        <v>50</v>
      </c>
      <c r="N94" s="129">
        <f t="shared" si="35"/>
        <v>50</v>
      </c>
      <c r="O94" s="129">
        <f t="shared" si="35"/>
        <v>25</v>
      </c>
      <c r="P94" s="130">
        <f t="shared" si="35"/>
        <v>25</v>
      </c>
      <c r="Q94" s="374"/>
      <c r="S94" t="s">
        <v>326</v>
      </c>
    </row>
    <row r="95" spans="2:22" ht="15.75" x14ac:dyDescent="0.25">
      <c r="B95" s="124" t="s">
        <v>70</v>
      </c>
      <c r="C95" s="437" t="s">
        <v>82</v>
      </c>
      <c r="D95" s="341" t="s">
        <v>199</v>
      </c>
      <c r="E95" s="35" t="s">
        <v>208</v>
      </c>
      <c r="F95" s="129">
        <f t="shared" si="29"/>
        <v>15.496</v>
      </c>
      <c r="G95" s="129">
        <f t="shared" si="29"/>
        <v>13.409000000000001</v>
      </c>
      <c r="H95" s="129">
        <f t="shared" si="29"/>
        <v>14.287000000000001</v>
      </c>
      <c r="I95" s="130">
        <f t="shared" si="29"/>
        <v>12.906000000000001</v>
      </c>
      <c r="J95" s="370">
        <v>12.2</v>
      </c>
      <c r="K95" s="129">
        <f>+K26</f>
        <v>14</v>
      </c>
      <c r="L95" s="129">
        <f t="shared" si="37"/>
        <v>14</v>
      </c>
      <c r="M95" s="129">
        <f t="shared" si="37"/>
        <v>14</v>
      </c>
      <c r="N95" s="129">
        <f t="shared" si="35"/>
        <v>14</v>
      </c>
      <c r="O95" s="129">
        <f t="shared" si="35"/>
        <v>14</v>
      </c>
      <c r="P95" s="130">
        <f t="shared" si="35"/>
        <v>14</v>
      </c>
      <c r="Q95" s="374"/>
      <c r="S95" t="s">
        <v>296</v>
      </c>
    </row>
    <row r="96" spans="2:22" ht="15.75" x14ac:dyDescent="0.25">
      <c r="B96" s="124" t="s">
        <v>71</v>
      </c>
      <c r="C96" s="138" t="s">
        <v>154</v>
      </c>
      <c r="D96" s="341" t="s">
        <v>199</v>
      </c>
      <c r="E96" s="35" t="s">
        <v>208</v>
      </c>
      <c r="F96" s="129">
        <f t="shared" si="29"/>
        <v>10.15</v>
      </c>
      <c r="G96" s="129">
        <f t="shared" si="29"/>
        <v>11.4</v>
      </c>
      <c r="H96" s="129">
        <f t="shared" si="29"/>
        <v>12.4</v>
      </c>
      <c r="I96" s="130">
        <f t="shared" si="29"/>
        <v>16.251999999999999</v>
      </c>
      <c r="J96" s="392">
        <f>43204/2204.5</f>
        <v>19.598094806078475</v>
      </c>
      <c r="K96" s="129">
        <f>+K27</f>
        <v>14.702999999999999</v>
      </c>
      <c r="L96" s="129">
        <f t="shared" si="37"/>
        <v>14.75</v>
      </c>
      <c r="M96" s="129">
        <f t="shared" si="37"/>
        <v>19.434999999999999</v>
      </c>
      <c r="N96" s="129">
        <f t="shared" si="35"/>
        <v>16.356999999999999</v>
      </c>
      <c r="O96" s="129">
        <f t="shared" si="35"/>
        <v>15.576000000000001</v>
      </c>
      <c r="P96" s="130">
        <f t="shared" si="35"/>
        <v>16</v>
      </c>
      <c r="Q96" s="374"/>
      <c r="R96" s="388">
        <v>20.9</v>
      </c>
    </row>
    <row r="97" spans="2:19" ht="15.75" x14ac:dyDescent="0.25">
      <c r="B97" s="124" t="s">
        <v>155</v>
      </c>
      <c r="C97" s="138" t="s">
        <v>72</v>
      </c>
      <c r="D97" s="341" t="s">
        <v>199</v>
      </c>
      <c r="E97" s="35" t="s">
        <v>208</v>
      </c>
      <c r="F97" s="129">
        <f t="shared" si="29"/>
        <v>37.57</v>
      </c>
      <c r="G97" s="129">
        <f t="shared" si="29"/>
        <v>26.498000000000001</v>
      </c>
      <c r="H97" s="129">
        <f t="shared" si="29"/>
        <v>13.82</v>
      </c>
      <c r="I97" s="130">
        <f t="shared" si="29"/>
        <v>24.478999999999999</v>
      </c>
      <c r="J97" s="370">
        <v>32.1</v>
      </c>
      <c r="K97" s="129">
        <f>+K28</f>
        <v>25</v>
      </c>
      <c r="L97" s="129">
        <f t="shared" si="37"/>
        <v>25</v>
      </c>
      <c r="M97" s="129">
        <f t="shared" si="37"/>
        <v>25</v>
      </c>
      <c r="N97" s="129">
        <f t="shared" si="35"/>
        <v>25</v>
      </c>
      <c r="O97" s="129">
        <f t="shared" si="35"/>
        <v>25</v>
      </c>
      <c r="P97" s="130">
        <f t="shared" si="35"/>
        <v>25</v>
      </c>
      <c r="Q97" s="374"/>
    </row>
    <row r="98" spans="2:19" ht="15.75" x14ac:dyDescent="0.25">
      <c r="B98" s="124" t="s">
        <v>73</v>
      </c>
      <c r="C98" s="138" t="s">
        <v>156</v>
      </c>
      <c r="D98" s="341" t="s">
        <v>199</v>
      </c>
      <c r="E98" s="35" t="s">
        <v>208</v>
      </c>
      <c r="F98" s="129">
        <f t="shared" si="29"/>
        <v>33.804000000000002</v>
      </c>
      <c r="G98" s="129">
        <f t="shared" si="29"/>
        <v>34.834000000000003</v>
      </c>
      <c r="H98" s="129">
        <f t="shared" si="29"/>
        <v>26.422999999999998</v>
      </c>
      <c r="I98" s="130">
        <f t="shared" si="29"/>
        <v>27.321000000000002</v>
      </c>
      <c r="J98" s="370">
        <f>13+7.6</f>
        <v>20.6</v>
      </c>
      <c r="K98" s="129">
        <f>+K29</f>
        <v>25</v>
      </c>
      <c r="L98" s="129">
        <f t="shared" si="37"/>
        <v>25</v>
      </c>
      <c r="M98" s="129">
        <f t="shared" si="37"/>
        <v>25</v>
      </c>
      <c r="N98" s="129">
        <f t="shared" si="35"/>
        <v>25</v>
      </c>
      <c r="O98" s="129">
        <f t="shared" si="35"/>
        <v>25</v>
      </c>
      <c r="P98" s="130">
        <f t="shared" si="35"/>
        <v>25</v>
      </c>
      <c r="Q98" s="374"/>
      <c r="S98" t="s">
        <v>312</v>
      </c>
    </row>
    <row r="99" spans="2:19" ht="15.75" x14ac:dyDescent="0.25">
      <c r="B99" s="124" t="s">
        <v>74</v>
      </c>
      <c r="C99" s="138" t="s">
        <v>74</v>
      </c>
      <c r="D99" s="341" t="s">
        <v>199</v>
      </c>
      <c r="E99" s="35" t="s">
        <v>208</v>
      </c>
      <c r="F99" s="129">
        <f t="shared" si="29"/>
        <v>20.741</v>
      </c>
      <c r="G99" s="129">
        <f t="shared" si="29"/>
        <v>23.87</v>
      </c>
      <c r="H99" s="129">
        <f t="shared" si="29"/>
        <v>24.006</v>
      </c>
      <c r="I99" s="130">
        <f t="shared" si="29"/>
        <v>33.823</v>
      </c>
      <c r="J99" s="370">
        <v>43.1</v>
      </c>
      <c r="K99" s="384">
        <v>40</v>
      </c>
      <c r="L99" s="384">
        <v>40</v>
      </c>
      <c r="M99" s="384">
        <v>40</v>
      </c>
      <c r="N99" s="384">
        <v>40</v>
      </c>
      <c r="O99" s="384">
        <v>40</v>
      </c>
      <c r="P99" s="385">
        <v>40</v>
      </c>
      <c r="Q99" s="374"/>
      <c r="S99" t="s">
        <v>295</v>
      </c>
    </row>
    <row r="100" spans="2:19" ht="15.75" x14ac:dyDescent="0.25">
      <c r="B100" s="227" t="s">
        <v>157</v>
      </c>
      <c r="C100" s="138" t="s">
        <v>75</v>
      </c>
      <c r="D100" s="341" t="s">
        <v>199</v>
      </c>
      <c r="E100" s="35" t="s">
        <v>208</v>
      </c>
      <c r="F100" s="129">
        <f t="shared" si="29"/>
        <v>32.831000000000003</v>
      </c>
      <c r="G100" s="129">
        <f t="shared" si="29"/>
        <v>31.96</v>
      </c>
      <c r="H100" s="129">
        <f t="shared" si="29"/>
        <v>36.042999999999999</v>
      </c>
      <c r="I100" s="130">
        <f t="shared" si="29"/>
        <v>35.118000000000002</v>
      </c>
      <c r="J100" s="370">
        <v>37.5</v>
      </c>
      <c r="K100" s="129">
        <f t="shared" ref="K100:P102" si="38">+K31</f>
        <v>35</v>
      </c>
      <c r="L100" s="129">
        <f t="shared" si="38"/>
        <v>35</v>
      </c>
      <c r="M100" s="129">
        <f t="shared" si="38"/>
        <v>35</v>
      </c>
      <c r="N100" s="129">
        <f t="shared" si="38"/>
        <v>35</v>
      </c>
      <c r="O100" s="129">
        <f t="shared" si="38"/>
        <v>35</v>
      </c>
      <c r="P100" s="130">
        <f t="shared" si="38"/>
        <v>35</v>
      </c>
      <c r="Q100" s="374"/>
    </row>
    <row r="101" spans="2:19" ht="15.75" x14ac:dyDescent="0.25">
      <c r="B101" s="227" t="s">
        <v>158</v>
      </c>
      <c r="C101" s="138" t="s">
        <v>76</v>
      </c>
      <c r="D101" s="341" t="s">
        <v>199</v>
      </c>
      <c r="E101" s="35" t="s">
        <v>208</v>
      </c>
      <c r="F101" s="129">
        <f t="shared" si="29"/>
        <v>22.638999999999999</v>
      </c>
      <c r="G101" s="129">
        <f t="shared" si="29"/>
        <v>18.89</v>
      </c>
      <c r="H101" s="129">
        <f t="shared" si="29"/>
        <v>22.940999999999999</v>
      </c>
      <c r="I101" s="130">
        <f t="shared" si="29"/>
        <v>25.18</v>
      </c>
      <c r="J101" s="370">
        <v>20.3</v>
      </c>
      <c r="K101" s="129">
        <f t="shared" si="38"/>
        <v>23</v>
      </c>
      <c r="L101" s="129">
        <f t="shared" si="38"/>
        <v>23</v>
      </c>
      <c r="M101" s="129">
        <f t="shared" si="38"/>
        <v>23</v>
      </c>
      <c r="N101" s="129">
        <f t="shared" si="38"/>
        <v>23</v>
      </c>
      <c r="O101" s="129">
        <f t="shared" si="38"/>
        <v>23</v>
      </c>
      <c r="P101" s="130">
        <f t="shared" si="38"/>
        <v>23</v>
      </c>
      <c r="Q101" s="374"/>
    </row>
    <row r="102" spans="2:19" ht="16.5" thickBot="1" x14ac:dyDescent="0.3">
      <c r="B102" s="107" t="s">
        <v>77</v>
      </c>
      <c r="C102" s="139" t="s">
        <v>159</v>
      </c>
      <c r="D102" s="142" t="s">
        <v>199</v>
      </c>
      <c r="E102" s="35" t="s">
        <v>208</v>
      </c>
      <c r="F102" s="131">
        <f t="shared" si="29"/>
        <v>5.3819999999999997</v>
      </c>
      <c r="G102" s="131">
        <f t="shared" si="29"/>
        <v>5.4980000000000002</v>
      </c>
      <c r="H102" s="131">
        <f t="shared" si="29"/>
        <v>7.2869999999999999</v>
      </c>
      <c r="I102" s="132">
        <f t="shared" si="29"/>
        <v>8.0530000000000008</v>
      </c>
      <c r="J102" s="380">
        <v>7.1</v>
      </c>
      <c r="K102" s="131">
        <f t="shared" si="38"/>
        <v>7</v>
      </c>
      <c r="L102" s="131">
        <f t="shared" si="38"/>
        <v>7</v>
      </c>
      <c r="M102" s="131">
        <f t="shared" si="38"/>
        <v>7</v>
      </c>
      <c r="N102" s="131">
        <f t="shared" si="38"/>
        <v>7</v>
      </c>
      <c r="O102" s="131">
        <f t="shared" si="38"/>
        <v>7</v>
      </c>
      <c r="P102" s="132">
        <f t="shared" si="38"/>
        <v>7</v>
      </c>
      <c r="Q102" s="374"/>
    </row>
    <row r="103" spans="2:19" ht="15.75" x14ac:dyDescent="0.25">
      <c r="B103" s="111" t="s">
        <v>78</v>
      </c>
      <c r="C103" s="140"/>
      <c r="D103" s="140"/>
      <c r="E103" s="111"/>
      <c r="F103" s="127">
        <f>SUM(F77:F102)</f>
        <v>1171.2359999999999</v>
      </c>
      <c r="G103" s="127">
        <f t="shared" ref="G103:P103" si="39">SUM(G77:G102)</f>
        <v>1220.7810000000004</v>
      </c>
      <c r="H103" s="127">
        <f t="shared" si="39"/>
        <v>1194.0790000000002</v>
      </c>
      <c r="I103" s="128">
        <f t="shared" si="39"/>
        <v>1273.6940000000002</v>
      </c>
      <c r="J103" s="344">
        <f t="shared" si="39"/>
        <v>1167.1980948060782</v>
      </c>
      <c r="K103" s="127">
        <f t="shared" si="39"/>
        <v>1340.203</v>
      </c>
      <c r="L103" s="127">
        <f t="shared" si="39"/>
        <v>1332.45</v>
      </c>
      <c r="M103" s="127">
        <f t="shared" si="39"/>
        <v>1336.0349999999999</v>
      </c>
      <c r="N103" s="127">
        <f t="shared" si="39"/>
        <v>1316.6569999999999</v>
      </c>
      <c r="O103" s="127">
        <f t="shared" si="39"/>
        <v>1301.076</v>
      </c>
      <c r="P103" s="128">
        <f t="shared" si="39"/>
        <v>1302</v>
      </c>
      <c r="Q103" s="374"/>
    </row>
    <row r="104" spans="2:19" ht="16.5" thickBot="1" x14ac:dyDescent="0.3">
      <c r="B104" s="135" t="s">
        <v>79</v>
      </c>
      <c r="C104" s="141"/>
      <c r="D104" s="397" t="s">
        <v>199</v>
      </c>
      <c r="E104" s="399" t="s">
        <v>208</v>
      </c>
      <c r="F104" s="136">
        <f>+F35</f>
        <v>33.020000000000003</v>
      </c>
      <c r="G104" s="136">
        <f>+G35</f>
        <v>41.767000000000003</v>
      </c>
      <c r="H104" s="136">
        <f>+H35</f>
        <v>55.988</v>
      </c>
      <c r="I104" s="137">
        <f>+I35</f>
        <v>68.355000000000004</v>
      </c>
      <c r="J104" s="381">
        <v>73.2</v>
      </c>
      <c r="K104" s="136">
        <f t="shared" ref="K104:P104" si="40">+K35</f>
        <v>80</v>
      </c>
      <c r="L104" s="136">
        <f t="shared" si="40"/>
        <v>85</v>
      </c>
      <c r="M104" s="136">
        <f t="shared" si="40"/>
        <v>90</v>
      </c>
      <c r="N104" s="136">
        <f t="shared" si="40"/>
        <v>95</v>
      </c>
      <c r="O104" s="136">
        <f t="shared" si="40"/>
        <v>100</v>
      </c>
      <c r="P104" s="137">
        <f t="shared" si="40"/>
        <v>105</v>
      </c>
      <c r="Q104" s="374"/>
    </row>
    <row r="105" spans="2:19" ht="15.75" x14ac:dyDescent="0.25">
      <c r="B105" s="111" t="s">
        <v>80</v>
      </c>
      <c r="C105" s="140"/>
      <c r="D105" s="140"/>
      <c r="E105" s="111"/>
      <c r="F105" s="127">
        <f>+F104+F103</f>
        <v>1204.2559999999999</v>
      </c>
      <c r="G105" s="127">
        <f t="shared" ref="G105:P105" si="41">+G104+G103</f>
        <v>1262.5480000000005</v>
      </c>
      <c r="H105" s="127">
        <f t="shared" si="41"/>
        <v>1250.0670000000002</v>
      </c>
      <c r="I105" s="128">
        <f t="shared" si="41"/>
        <v>1342.0490000000002</v>
      </c>
      <c r="J105" s="344">
        <f t="shared" si="41"/>
        <v>1240.3980948060782</v>
      </c>
      <c r="K105" s="127">
        <f t="shared" si="41"/>
        <v>1420.203</v>
      </c>
      <c r="L105" s="127">
        <f t="shared" si="41"/>
        <v>1417.45</v>
      </c>
      <c r="M105" s="127">
        <f t="shared" si="41"/>
        <v>1426.0349999999999</v>
      </c>
      <c r="N105" s="127">
        <f t="shared" si="41"/>
        <v>1411.6569999999999</v>
      </c>
      <c r="O105" s="127">
        <f t="shared" si="41"/>
        <v>1401.076</v>
      </c>
      <c r="P105" s="128">
        <f t="shared" si="41"/>
        <v>1407</v>
      </c>
      <c r="Q105" s="374"/>
    </row>
    <row r="106" spans="2:19" ht="15.75" x14ac:dyDescent="0.25">
      <c r="B106" s="118"/>
      <c r="C106" s="142"/>
      <c r="D106" s="142"/>
      <c r="E106" s="118"/>
      <c r="F106" s="67"/>
      <c r="G106" s="133"/>
      <c r="H106" s="133"/>
      <c r="I106" s="134"/>
      <c r="J106" s="348"/>
      <c r="K106" s="133"/>
      <c r="L106" s="133"/>
      <c r="M106" s="133"/>
      <c r="N106" s="133"/>
      <c r="O106" s="133"/>
      <c r="P106" s="134"/>
      <c r="Q106" s="375"/>
      <c r="S106" s="389" t="s">
        <v>52</v>
      </c>
    </row>
    <row r="107" spans="2:19" x14ac:dyDescent="0.25">
      <c r="S107" t="s">
        <v>297</v>
      </c>
    </row>
    <row r="108" spans="2:19" x14ac:dyDescent="0.25">
      <c r="S108" t="s">
        <v>303</v>
      </c>
    </row>
    <row r="109" spans="2:19" ht="18.75" x14ac:dyDescent="0.3">
      <c r="B109" s="280" t="s">
        <v>211</v>
      </c>
      <c r="D109" s="166"/>
      <c r="E109" s="166"/>
      <c r="S109" t="s">
        <v>525</v>
      </c>
    </row>
    <row r="110" spans="2:19" x14ac:dyDescent="0.25">
      <c r="D110" s="166"/>
      <c r="E110" s="166"/>
      <c r="S110" s="389" t="s">
        <v>309</v>
      </c>
    </row>
    <row r="111" spans="2:19" ht="15.75" x14ac:dyDescent="0.25">
      <c r="B111" t="s">
        <v>212</v>
      </c>
      <c r="C111" s="296">
        <v>51.6</v>
      </c>
      <c r="D111" s="166"/>
      <c r="E111" s="11" t="s">
        <v>209</v>
      </c>
      <c r="F111" t="s">
        <v>249</v>
      </c>
      <c r="S111" t="s">
        <v>316</v>
      </c>
    </row>
    <row r="112" spans="2:19" ht="15.75" x14ac:dyDescent="0.25">
      <c r="B112" t="s">
        <v>301</v>
      </c>
      <c r="C112" s="390">
        <v>22.3</v>
      </c>
      <c r="D112" s="166"/>
      <c r="E112" s="11" t="s">
        <v>201</v>
      </c>
      <c r="F112" t="s">
        <v>292</v>
      </c>
      <c r="S112" t="s">
        <v>305</v>
      </c>
    </row>
    <row r="113" spans="2:19" ht="15.75" x14ac:dyDescent="0.25">
      <c r="B113" t="s">
        <v>213</v>
      </c>
      <c r="C113" s="297">
        <v>49</v>
      </c>
      <c r="D113" s="166"/>
      <c r="E113" s="166"/>
      <c r="S113" t="s">
        <v>306</v>
      </c>
    </row>
    <row r="114" spans="2:19" ht="15.75" x14ac:dyDescent="0.25">
      <c r="B114" t="s">
        <v>302</v>
      </c>
      <c r="C114" s="298">
        <v>36</v>
      </c>
      <c r="D114" s="166"/>
      <c r="E114" s="166"/>
    </row>
    <row r="115" spans="2:19" ht="15.75" x14ac:dyDescent="0.25">
      <c r="D115" s="166"/>
      <c r="E115" s="6" t="s">
        <v>206</v>
      </c>
      <c r="F115" s="6">
        <v>2012</v>
      </c>
      <c r="G115" s="6">
        <f>+F115+1</f>
        <v>2013</v>
      </c>
      <c r="H115" s="6">
        <f t="shared" ref="H115:P115" si="42">+G115+1</f>
        <v>2014</v>
      </c>
      <c r="I115" s="7">
        <f t="shared" si="42"/>
        <v>2015</v>
      </c>
      <c r="J115" s="8">
        <f t="shared" si="42"/>
        <v>2016</v>
      </c>
      <c r="K115" s="6">
        <f t="shared" si="42"/>
        <v>2017</v>
      </c>
      <c r="L115" s="6">
        <f t="shared" si="42"/>
        <v>2018</v>
      </c>
      <c r="M115" s="6">
        <f t="shared" si="42"/>
        <v>2019</v>
      </c>
      <c r="N115" s="6">
        <f t="shared" si="42"/>
        <v>2020</v>
      </c>
      <c r="O115" s="6">
        <f t="shared" si="42"/>
        <v>2021</v>
      </c>
      <c r="P115" s="6">
        <f t="shared" si="42"/>
        <v>2022</v>
      </c>
      <c r="Q115" s="58"/>
    </row>
    <row r="116" spans="2:19" x14ac:dyDescent="0.25">
      <c r="B116" t="s">
        <v>313</v>
      </c>
      <c r="D116" s="166"/>
      <c r="E116" s="276" t="s">
        <v>207</v>
      </c>
      <c r="F116" s="2"/>
      <c r="G116" s="2"/>
      <c r="H116" s="2"/>
      <c r="I116" s="3"/>
      <c r="J116" s="4"/>
      <c r="K116" s="2"/>
      <c r="L116" s="2"/>
      <c r="M116" s="2"/>
      <c r="N116" s="2"/>
      <c r="O116" s="2"/>
      <c r="P116" s="2"/>
      <c r="Q116" s="59"/>
    </row>
    <row r="117" spans="2:19" ht="15.75" x14ac:dyDescent="0.25">
      <c r="B117" t="s">
        <v>314</v>
      </c>
      <c r="D117" s="166"/>
      <c r="E117" s="11" t="s">
        <v>208</v>
      </c>
      <c r="F117" s="398">
        <f>+F105-F118</f>
        <v>935.65599999999984</v>
      </c>
      <c r="G117" s="398">
        <f t="shared" ref="G117:P117" si="43">+G105-G118</f>
        <v>981.84800000000041</v>
      </c>
      <c r="H117" s="398">
        <f t="shared" si="43"/>
        <v>1019.1670000000003</v>
      </c>
      <c r="I117" s="400">
        <f t="shared" si="43"/>
        <v>1085.3490000000002</v>
      </c>
      <c r="J117" s="401">
        <f t="shared" si="43"/>
        <v>1029.5980948060783</v>
      </c>
      <c r="K117" s="398">
        <f t="shared" si="43"/>
        <v>1061.203</v>
      </c>
      <c r="L117" s="398">
        <f t="shared" si="43"/>
        <v>1048.45</v>
      </c>
      <c r="M117" s="398">
        <f t="shared" si="43"/>
        <v>1058.0349999999999</v>
      </c>
      <c r="N117" s="398">
        <f t="shared" si="43"/>
        <v>1050.6569999999999</v>
      </c>
      <c r="O117" s="398">
        <f t="shared" si="43"/>
        <v>1025.076</v>
      </c>
      <c r="P117" s="398">
        <f t="shared" si="43"/>
        <v>1031</v>
      </c>
      <c r="Q117" s="379"/>
    </row>
    <row r="118" spans="2:19" ht="15.75" x14ac:dyDescent="0.25">
      <c r="B118" s="402" t="s">
        <v>294</v>
      </c>
      <c r="D118" s="166"/>
      <c r="E118" s="11" t="s">
        <v>19</v>
      </c>
      <c r="F118" s="398">
        <f>+F87+F86+F77</f>
        <v>268.60000000000002</v>
      </c>
      <c r="G118" s="398">
        <f t="shared" ref="G118:P118" si="44">+G87+G86+G77</f>
        <v>280.7</v>
      </c>
      <c r="H118" s="398">
        <f t="shared" si="44"/>
        <v>230.9</v>
      </c>
      <c r="I118" s="400">
        <f t="shared" si="44"/>
        <v>256.7</v>
      </c>
      <c r="J118" s="401">
        <f t="shared" si="44"/>
        <v>210.8</v>
      </c>
      <c r="K118" s="398">
        <f t="shared" si="44"/>
        <v>359</v>
      </c>
      <c r="L118" s="398">
        <f t="shared" si="44"/>
        <v>369</v>
      </c>
      <c r="M118" s="398">
        <f t="shared" si="44"/>
        <v>368</v>
      </c>
      <c r="N118" s="398">
        <f t="shared" si="44"/>
        <v>361</v>
      </c>
      <c r="O118" s="398">
        <f t="shared" si="44"/>
        <v>376</v>
      </c>
      <c r="P118" s="398">
        <f t="shared" si="44"/>
        <v>376</v>
      </c>
      <c r="Q118" s="379"/>
    </row>
  </sheetData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86"/>
  <sheetViews>
    <sheetView workbookViewId="0"/>
  </sheetViews>
  <sheetFormatPr defaultRowHeight="15" x14ac:dyDescent="0.25"/>
  <cols>
    <col min="2" max="2" width="18.85546875" customWidth="1"/>
    <col min="3" max="3" width="22.140625" customWidth="1"/>
    <col min="4" max="4" width="23.5703125" customWidth="1"/>
    <col min="5" max="5" width="14.5703125" style="166" customWidth="1"/>
    <col min="6" max="6" width="12.28515625" customWidth="1"/>
    <col min="7" max="17" width="10.140625" customWidth="1"/>
    <col min="19" max="19" width="91.28515625" customWidth="1"/>
  </cols>
  <sheetData>
    <row r="1" spans="2:17" ht="18.75" x14ac:dyDescent="0.3">
      <c r="B1" s="266" t="s">
        <v>555</v>
      </c>
      <c r="I1" s="266" t="s">
        <v>562</v>
      </c>
    </row>
    <row r="4" spans="2:17" ht="20.25" customHeight="1" x14ac:dyDescent="0.3">
      <c r="B4" s="266" t="s">
        <v>187</v>
      </c>
    </row>
    <row r="6" spans="2:17" ht="15.75" x14ac:dyDescent="0.25">
      <c r="C6" s="27"/>
      <c r="D6" s="6" t="s">
        <v>1</v>
      </c>
      <c r="E6" s="6" t="s">
        <v>2</v>
      </c>
      <c r="F6" s="6" t="s">
        <v>206</v>
      </c>
      <c r="G6" s="125">
        <v>2012</v>
      </c>
      <c r="H6" s="125">
        <v>2013</v>
      </c>
      <c r="I6" s="125">
        <v>2014</v>
      </c>
      <c r="J6" s="126">
        <v>2015</v>
      </c>
      <c r="K6" s="343">
        <v>2016</v>
      </c>
      <c r="L6" s="125">
        <v>2017</v>
      </c>
      <c r="M6" s="125">
        <v>2018</v>
      </c>
      <c r="N6" s="125">
        <v>2019</v>
      </c>
      <c r="O6" s="125">
        <v>2020</v>
      </c>
      <c r="P6" s="125">
        <v>2021</v>
      </c>
      <c r="Q6" s="126">
        <v>2022</v>
      </c>
    </row>
    <row r="7" spans="2:17" ht="16.5" thickBot="1" x14ac:dyDescent="0.3">
      <c r="C7" s="27"/>
      <c r="D7" s="6"/>
      <c r="E7" s="6"/>
      <c r="F7" s="276" t="s">
        <v>207</v>
      </c>
      <c r="G7" s="125"/>
      <c r="H7" s="125"/>
      <c r="I7" s="125"/>
      <c r="J7" s="126"/>
      <c r="K7" s="343"/>
      <c r="L7" s="125"/>
      <c r="M7" s="125"/>
      <c r="N7" s="125"/>
      <c r="O7" s="125"/>
      <c r="P7" s="125"/>
      <c r="Q7" s="126"/>
    </row>
    <row r="8" spans="2:17" ht="15.75" x14ac:dyDescent="0.25">
      <c r="B8" s="50" t="s">
        <v>341</v>
      </c>
      <c r="C8" s="91" t="s">
        <v>116</v>
      </c>
      <c r="D8" s="143" t="s">
        <v>139</v>
      </c>
      <c r="E8" s="430" t="s">
        <v>199</v>
      </c>
      <c r="F8" s="342" t="s">
        <v>208</v>
      </c>
      <c r="G8" s="127">
        <v>166</v>
      </c>
      <c r="H8" s="127">
        <v>166</v>
      </c>
      <c r="I8" s="127">
        <v>150</v>
      </c>
      <c r="J8" s="128">
        <v>133</v>
      </c>
      <c r="K8" s="344">
        <v>150</v>
      </c>
      <c r="L8" s="127">
        <v>140</v>
      </c>
      <c r="M8" s="127">
        <v>130</v>
      </c>
      <c r="N8" s="127">
        <v>125</v>
      </c>
      <c r="O8" s="127">
        <v>125</v>
      </c>
      <c r="P8" s="127">
        <v>120</v>
      </c>
      <c r="Q8" s="128">
        <v>120</v>
      </c>
    </row>
    <row r="9" spans="2:17" ht="15.75" x14ac:dyDescent="0.25">
      <c r="B9" s="788"/>
      <c r="C9" s="216" t="s">
        <v>117</v>
      </c>
      <c r="D9" s="28" t="s">
        <v>140</v>
      </c>
      <c r="E9" s="29" t="s">
        <v>197</v>
      </c>
      <c r="F9" s="76" t="s">
        <v>208</v>
      </c>
      <c r="G9" s="203">
        <v>169.5</v>
      </c>
      <c r="H9" s="203">
        <v>151</v>
      </c>
      <c r="I9" s="203">
        <v>131</v>
      </c>
      <c r="J9" s="204">
        <v>70</v>
      </c>
      <c r="K9" s="356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4">
        <v>0</v>
      </c>
    </row>
    <row r="10" spans="2:17" ht="15.75" x14ac:dyDescent="0.25">
      <c r="B10" s="290" t="s">
        <v>342</v>
      </c>
      <c r="C10" s="209" t="s">
        <v>118</v>
      </c>
      <c r="D10" s="16" t="s">
        <v>141</v>
      </c>
      <c r="E10" s="56" t="s">
        <v>271</v>
      </c>
      <c r="F10" s="17" t="s">
        <v>208</v>
      </c>
      <c r="G10" s="211">
        <v>17.5</v>
      </c>
      <c r="H10" s="211">
        <v>20.6</v>
      </c>
      <c r="I10" s="211">
        <v>21.1</v>
      </c>
      <c r="J10" s="212">
        <v>12</v>
      </c>
      <c r="K10" s="354">
        <v>13</v>
      </c>
      <c r="L10" s="211">
        <v>13</v>
      </c>
      <c r="M10" s="211">
        <v>13</v>
      </c>
      <c r="N10" s="211">
        <v>13</v>
      </c>
      <c r="O10" s="211">
        <v>13</v>
      </c>
      <c r="P10" s="211">
        <v>10</v>
      </c>
      <c r="Q10" s="212">
        <v>0</v>
      </c>
    </row>
    <row r="11" spans="2:17" ht="15.75" x14ac:dyDescent="0.25">
      <c r="B11" s="290"/>
      <c r="C11" s="213" t="s">
        <v>119</v>
      </c>
      <c r="D11" s="75" t="s">
        <v>141</v>
      </c>
      <c r="E11" s="76" t="s">
        <v>218</v>
      </c>
      <c r="F11" s="76" t="s">
        <v>208</v>
      </c>
      <c r="G11" s="218">
        <v>0</v>
      </c>
      <c r="H11" s="218">
        <v>0</v>
      </c>
      <c r="I11" s="218">
        <v>0</v>
      </c>
      <c r="J11" s="219">
        <v>0</v>
      </c>
      <c r="K11" s="355">
        <v>0</v>
      </c>
      <c r="L11" s="218">
        <v>0</v>
      </c>
      <c r="M11" s="218">
        <v>6.3</v>
      </c>
      <c r="N11" s="218">
        <v>12.5</v>
      </c>
      <c r="O11" s="218">
        <v>12.5</v>
      </c>
      <c r="P11" s="218">
        <v>12.5</v>
      </c>
      <c r="Q11" s="219">
        <v>12.5</v>
      </c>
    </row>
    <row r="12" spans="2:17" ht="15.75" x14ac:dyDescent="0.25">
      <c r="B12" s="789" t="s">
        <v>343</v>
      </c>
      <c r="C12" s="217" t="s">
        <v>120</v>
      </c>
      <c r="D12" s="72" t="s">
        <v>142</v>
      </c>
      <c r="E12" s="299" t="s">
        <v>271</v>
      </c>
      <c r="F12" s="299" t="s">
        <v>208</v>
      </c>
      <c r="G12" s="207">
        <v>25.6</v>
      </c>
      <c r="H12" s="207">
        <v>21.7</v>
      </c>
      <c r="I12" s="207">
        <v>19.8</v>
      </c>
      <c r="J12" s="208">
        <v>21.3</v>
      </c>
      <c r="K12" s="352">
        <v>20</v>
      </c>
      <c r="L12" s="207">
        <v>20</v>
      </c>
      <c r="M12" s="207">
        <v>20</v>
      </c>
      <c r="N12" s="207">
        <v>10</v>
      </c>
      <c r="O12" s="207">
        <v>0</v>
      </c>
      <c r="P12" s="207">
        <v>0</v>
      </c>
      <c r="Q12" s="208">
        <v>0</v>
      </c>
    </row>
    <row r="13" spans="2:17" ht="15.75" x14ac:dyDescent="0.25">
      <c r="B13" s="790"/>
      <c r="C13" s="123" t="s">
        <v>121</v>
      </c>
      <c r="D13" s="34" t="s">
        <v>139</v>
      </c>
      <c r="E13" s="299" t="s">
        <v>271</v>
      </c>
      <c r="F13" s="35" t="s">
        <v>208</v>
      </c>
      <c r="G13" s="129">
        <v>0</v>
      </c>
      <c r="H13" s="129">
        <v>1.5</v>
      </c>
      <c r="I13" s="129">
        <v>2.2999999999999998</v>
      </c>
      <c r="J13" s="130">
        <v>2.2000000000000002</v>
      </c>
      <c r="K13" s="345">
        <v>2</v>
      </c>
      <c r="L13" s="129">
        <v>2</v>
      </c>
      <c r="M13" s="129">
        <v>2</v>
      </c>
      <c r="N13" s="129">
        <v>2</v>
      </c>
      <c r="O13" s="129">
        <v>2</v>
      </c>
      <c r="P13" s="129">
        <v>0</v>
      </c>
      <c r="Q13" s="130">
        <v>0</v>
      </c>
    </row>
    <row r="14" spans="2:17" ht="15.75" x14ac:dyDescent="0.25">
      <c r="B14" s="788"/>
      <c r="C14" s="216" t="s">
        <v>122</v>
      </c>
      <c r="D14" s="461" t="s">
        <v>143</v>
      </c>
      <c r="E14" s="322" t="s">
        <v>330</v>
      </c>
      <c r="F14" s="322" t="s">
        <v>19</v>
      </c>
      <c r="G14" s="203">
        <v>25.9</v>
      </c>
      <c r="H14" s="203">
        <v>17.399999999999999</v>
      </c>
      <c r="I14" s="203">
        <v>10</v>
      </c>
      <c r="J14" s="204">
        <v>0</v>
      </c>
      <c r="K14" s="356">
        <v>20</v>
      </c>
      <c r="L14" s="203">
        <v>25</v>
      </c>
      <c r="M14" s="203">
        <v>30</v>
      </c>
      <c r="N14" s="203">
        <v>30</v>
      </c>
      <c r="O14" s="203">
        <v>30</v>
      </c>
      <c r="P14" s="203">
        <v>30</v>
      </c>
      <c r="Q14" s="204">
        <v>30</v>
      </c>
    </row>
    <row r="15" spans="2:17" ht="15.75" x14ac:dyDescent="0.25">
      <c r="B15" s="290" t="s">
        <v>344</v>
      </c>
      <c r="C15" s="209" t="s">
        <v>123</v>
      </c>
      <c r="D15" s="16" t="s">
        <v>139</v>
      </c>
      <c r="E15" s="56" t="s">
        <v>199</v>
      </c>
      <c r="F15" s="17" t="s">
        <v>208</v>
      </c>
      <c r="G15" s="211">
        <v>75</v>
      </c>
      <c r="H15" s="211">
        <v>70</v>
      </c>
      <c r="I15" s="211">
        <v>99</v>
      </c>
      <c r="J15" s="212">
        <v>108</v>
      </c>
      <c r="K15" s="354">
        <v>113</v>
      </c>
      <c r="L15" s="211">
        <v>113</v>
      </c>
      <c r="M15" s="211">
        <v>110</v>
      </c>
      <c r="N15" s="211">
        <v>110</v>
      </c>
      <c r="O15" s="211">
        <v>108</v>
      </c>
      <c r="P15" s="211">
        <v>108</v>
      </c>
      <c r="Q15" s="212">
        <v>102</v>
      </c>
    </row>
    <row r="16" spans="2:17" ht="15.75" x14ac:dyDescent="0.25">
      <c r="B16" s="290"/>
      <c r="C16" s="124" t="s">
        <v>124</v>
      </c>
      <c r="D16" s="34" t="s">
        <v>139</v>
      </c>
      <c r="E16" s="56" t="s">
        <v>199</v>
      </c>
      <c r="F16" s="35" t="s">
        <v>208</v>
      </c>
      <c r="G16" s="129">
        <v>30</v>
      </c>
      <c r="H16" s="129">
        <v>35</v>
      </c>
      <c r="I16" s="129">
        <v>45</v>
      </c>
      <c r="J16" s="130">
        <v>56</v>
      </c>
      <c r="K16" s="345">
        <v>71</v>
      </c>
      <c r="L16" s="129">
        <v>75</v>
      </c>
      <c r="M16" s="129">
        <v>75</v>
      </c>
      <c r="N16" s="129">
        <v>80</v>
      </c>
      <c r="O16" s="129">
        <v>80</v>
      </c>
      <c r="P16" s="129">
        <v>80</v>
      </c>
      <c r="Q16" s="130">
        <v>80</v>
      </c>
    </row>
    <row r="17" spans="2:17" ht="15.75" x14ac:dyDescent="0.25">
      <c r="B17" s="290"/>
      <c r="C17" s="213" t="s">
        <v>125</v>
      </c>
      <c r="D17" s="75" t="s">
        <v>144</v>
      </c>
      <c r="E17" s="56" t="s">
        <v>199</v>
      </c>
      <c r="F17" s="76" t="s">
        <v>208</v>
      </c>
      <c r="G17" s="218">
        <v>83.2</v>
      </c>
      <c r="H17" s="218">
        <v>71.400000000000006</v>
      </c>
      <c r="I17" s="218">
        <v>77.7</v>
      </c>
      <c r="J17" s="219">
        <v>83.5</v>
      </c>
      <c r="K17" s="355">
        <v>80</v>
      </c>
      <c r="L17" s="218">
        <v>82</v>
      </c>
      <c r="M17" s="218">
        <v>82</v>
      </c>
      <c r="N17" s="218">
        <v>82</v>
      </c>
      <c r="O17" s="218">
        <v>82</v>
      </c>
      <c r="P17" s="218">
        <v>82</v>
      </c>
      <c r="Q17" s="219">
        <v>82</v>
      </c>
    </row>
    <row r="18" spans="2:17" ht="15.75" x14ac:dyDescent="0.25">
      <c r="B18" s="791" t="s">
        <v>345</v>
      </c>
      <c r="C18" s="221" t="s">
        <v>126</v>
      </c>
      <c r="D18" s="28" t="s">
        <v>144</v>
      </c>
      <c r="E18" s="56" t="s">
        <v>199</v>
      </c>
      <c r="F18" s="29" t="s">
        <v>208</v>
      </c>
      <c r="G18" s="131">
        <v>30</v>
      </c>
      <c r="H18" s="131">
        <v>53.4</v>
      </c>
      <c r="I18" s="131">
        <v>67.400000000000006</v>
      </c>
      <c r="J18" s="132">
        <v>61.9</v>
      </c>
      <c r="K18" s="346">
        <v>71</v>
      </c>
      <c r="L18" s="131">
        <v>70</v>
      </c>
      <c r="M18" s="131">
        <v>70</v>
      </c>
      <c r="N18" s="131">
        <v>90</v>
      </c>
      <c r="O18" s="131">
        <v>120</v>
      </c>
      <c r="P18" s="131">
        <v>150</v>
      </c>
      <c r="Q18" s="132">
        <v>150</v>
      </c>
    </row>
    <row r="19" spans="2:17" ht="15.75" x14ac:dyDescent="0.25">
      <c r="B19" s="791" t="s">
        <v>346</v>
      </c>
      <c r="C19" s="222" t="s">
        <v>127</v>
      </c>
      <c r="D19" s="10" t="s">
        <v>145</v>
      </c>
      <c r="E19" s="56" t="s">
        <v>199</v>
      </c>
      <c r="F19" s="11" t="s">
        <v>208</v>
      </c>
      <c r="G19" s="223">
        <v>28</v>
      </c>
      <c r="H19" s="223">
        <v>30.9</v>
      </c>
      <c r="I19" s="223">
        <v>31.6</v>
      </c>
      <c r="J19" s="224">
        <v>35</v>
      </c>
      <c r="K19" s="417">
        <v>50</v>
      </c>
      <c r="L19" s="223">
        <v>60</v>
      </c>
      <c r="M19" s="223">
        <v>75</v>
      </c>
      <c r="N19" s="223">
        <v>75</v>
      </c>
      <c r="O19" s="223">
        <v>75</v>
      </c>
      <c r="P19" s="223">
        <v>75</v>
      </c>
      <c r="Q19" s="224">
        <v>75</v>
      </c>
    </row>
    <row r="20" spans="2:17" ht="15.75" x14ac:dyDescent="0.25">
      <c r="B20" s="290" t="s">
        <v>347</v>
      </c>
      <c r="C20" s="205" t="s">
        <v>128</v>
      </c>
      <c r="D20" s="72" t="s">
        <v>142</v>
      </c>
      <c r="E20" s="17" t="s">
        <v>271</v>
      </c>
      <c r="F20" s="453" t="s">
        <v>208</v>
      </c>
      <c r="G20" s="207">
        <v>40</v>
      </c>
      <c r="H20" s="207">
        <v>43.1</v>
      </c>
      <c r="I20" s="207">
        <v>36.200000000000003</v>
      </c>
      <c r="J20" s="208">
        <v>19.8</v>
      </c>
      <c r="K20" s="352">
        <v>8.6999999999999993</v>
      </c>
      <c r="L20" s="207">
        <v>7</v>
      </c>
      <c r="M20" s="207">
        <v>6</v>
      </c>
      <c r="N20" s="207">
        <v>3</v>
      </c>
      <c r="O20" s="207">
        <v>0</v>
      </c>
      <c r="P20" s="207">
        <v>0</v>
      </c>
      <c r="Q20" s="208">
        <v>0</v>
      </c>
    </row>
    <row r="21" spans="2:17" ht="15.75" x14ac:dyDescent="0.25">
      <c r="B21" s="290"/>
      <c r="C21" s="201" t="s">
        <v>129</v>
      </c>
      <c r="D21" s="202"/>
      <c r="E21" s="357"/>
      <c r="F21" s="454" t="s">
        <v>350</v>
      </c>
      <c r="G21" s="203">
        <v>155.80000000000001</v>
      </c>
      <c r="H21" s="203">
        <v>151.9</v>
      </c>
      <c r="I21" s="203">
        <v>173.9</v>
      </c>
      <c r="J21" s="204">
        <v>175</v>
      </c>
      <c r="K21" s="356">
        <v>180</v>
      </c>
      <c r="L21" s="203">
        <v>190</v>
      </c>
      <c r="M21" s="203">
        <v>200</v>
      </c>
      <c r="N21" s="203">
        <v>210</v>
      </c>
      <c r="O21" s="203">
        <v>220</v>
      </c>
      <c r="P21" s="203">
        <v>230</v>
      </c>
      <c r="Q21" s="204">
        <v>240</v>
      </c>
    </row>
    <row r="22" spans="2:17" ht="15.75" x14ac:dyDescent="0.25">
      <c r="B22" s="791" t="s">
        <v>348</v>
      </c>
      <c r="C22" s="222" t="s">
        <v>130</v>
      </c>
      <c r="D22" s="225" t="s">
        <v>146</v>
      </c>
      <c r="E22" s="11" t="s">
        <v>271</v>
      </c>
      <c r="F22" s="455" t="s">
        <v>208</v>
      </c>
      <c r="G22" s="223">
        <v>76.7</v>
      </c>
      <c r="H22" s="223">
        <v>75.900000000000006</v>
      </c>
      <c r="I22" s="223">
        <v>56</v>
      </c>
      <c r="J22" s="224">
        <v>50</v>
      </c>
      <c r="K22" s="417">
        <v>50</v>
      </c>
      <c r="L22" s="223">
        <v>20</v>
      </c>
      <c r="M22" s="223">
        <v>0</v>
      </c>
      <c r="N22" s="223">
        <v>0</v>
      </c>
      <c r="O22" s="223">
        <v>0</v>
      </c>
      <c r="P22" s="223">
        <v>0</v>
      </c>
      <c r="Q22" s="224">
        <v>0</v>
      </c>
    </row>
    <row r="23" spans="2:17" ht="15.75" x14ac:dyDescent="0.25">
      <c r="B23" s="290" t="s">
        <v>349</v>
      </c>
      <c r="C23" s="221" t="s">
        <v>131</v>
      </c>
      <c r="D23" s="139" t="s">
        <v>147</v>
      </c>
      <c r="E23" s="56" t="s">
        <v>199</v>
      </c>
      <c r="F23" s="377" t="s">
        <v>208</v>
      </c>
      <c r="G23" s="131">
        <v>28</v>
      </c>
      <c r="H23" s="131">
        <v>30.9</v>
      </c>
      <c r="I23" s="131">
        <v>31.6</v>
      </c>
      <c r="J23" s="132">
        <v>33</v>
      </c>
      <c r="K23" s="346">
        <v>33</v>
      </c>
      <c r="L23" s="131">
        <v>33</v>
      </c>
      <c r="M23" s="131">
        <v>33</v>
      </c>
      <c r="N23" s="131">
        <v>33</v>
      </c>
      <c r="O23" s="131">
        <v>33</v>
      </c>
      <c r="P23" s="131">
        <v>33</v>
      </c>
      <c r="Q23" s="132">
        <v>33</v>
      </c>
    </row>
    <row r="24" spans="2:17" ht="15.75" x14ac:dyDescent="0.25">
      <c r="B24" s="587" t="s">
        <v>132</v>
      </c>
      <c r="C24" s="451" t="s">
        <v>352</v>
      </c>
      <c r="D24" s="210" t="s">
        <v>351</v>
      </c>
      <c r="E24" s="359" t="s">
        <v>199</v>
      </c>
      <c r="F24" s="456" t="s">
        <v>208</v>
      </c>
      <c r="G24" s="211">
        <v>7.6</v>
      </c>
      <c r="H24" s="211">
        <v>9.1</v>
      </c>
      <c r="I24" s="211">
        <v>8.1</v>
      </c>
      <c r="J24" s="418"/>
      <c r="K24" s="419"/>
      <c r="L24" s="420"/>
      <c r="M24" s="420"/>
      <c r="N24" s="420"/>
      <c r="O24" s="420"/>
      <c r="P24" s="420"/>
      <c r="Q24" s="418"/>
    </row>
    <row r="25" spans="2:17" ht="15.75" x14ac:dyDescent="0.25">
      <c r="B25" s="582" t="s">
        <v>133</v>
      </c>
      <c r="C25" s="452" t="s">
        <v>353</v>
      </c>
      <c r="D25" s="138" t="s">
        <v>354</v>
      </c>
      <c r="E25" s="341" t="s">
        <v>199</v>
      </c>
      <c r="F25" s="457" t="s">
        <v>208</v>
      </c>
      <c r="G25" s="129">
        <v>3.8</v>
      </c>
      <c r="H25" s="129">
        <v>5</v>
      </c>
      <c r="I25" s="129">
        <v>5.5</v>
      </c>
      <c r="J25" s="421"/>
      <c r="K25" s="422"/>
      <c r="L25" s="423"/>
      <c r="M25" s="423"/>
      <c r="N25" s="423"/>
      <c r="O25" s="423"/>
      <c r="P25" s="423"/>
      <c r="Q25" s="421"/>
    </row>
    <row r="26" spans="2:17" ht="15.75" x14ac:dyDescent="0.25">
      <c r="B26" s="582" t="s">
        <v>134</v>
      </c>
      <c r="C26" s="452" t="s">
        <v>355</v>
      </c>
      <c r="D26" s="138" t="s">
        <v>356</v>
      </c>
      <c r="E26" s="341" t="s">
        <v>199</v>
      </c>
      <c r="F26" s="457" t="s">
        <v>19</v>
      </c>
      <c r="G26" s="129">
        <v>4.7</v>
      </c>
      <c r="H26" s="129">
        <v>5.5</v>
      </c>
      <c r="I26" s="129">
        <v>5.5</v>
      </c>
      <c r="J26" s="421"/>
      <c r="K26" s="422"/>
      <c r="L26" s="423"/>
      <c r="M26" s="423"/>
      <c r="N26" s="423"/>
      <c r="O26" s="423"/>
      <c r="P26" s="423"/>
      <c r="Q26" s="421"/>
    </row>
    <row r="27" spans="2:17" ht="15.75" x14ac:dyDescent="0.25">
      <c r="B27" s="582" t="s">
        <v>135</v>
      </c>
      <c r="C27" s="460" t="s">
        <v>357</v>
      </c>
      <c r="D27" s="138" t="s">
        <v>351</v>
      </c>
      <c r="E27" s="341" t="s">
        <v>199</v>
      </c>
      <c r="F27" s="457" t="s">
        <v>208</v>
      </c>
      <c r="G27" s="129">
        <v>6</v>
      </c>
      <c r="H27" s="129">
        <v>5.8</v>
      </c>
      <c r="I27" s="129">
        <v>7.1</v>
      </c>
      <c r="J27" s="421"/>
      <c r="K27" s="422"/>
      <c r="L27" s="423"/>
      <c r="M27" s="423"/>
      <c r="N27" s="423"/>
      <c r="O27" s="423"/>
      <c r="P27" s="423"/>
      <c r="Q27" s="421"/>
    </row>
    <row r="28" spans="2:17" ht="15.75" x14ac:dyDescent="0.25">
      <c r="B28" s="580"/>
      <c r="C28" s="226" t="s">
        <v>78</v>
      </c>
      <c r="D28" s="214"/>
      <c r="E28" s="360"/>
      <c r="F28" s="458"/>
      <c r="G28" s="215">
        <f>SUM(G24:G27)</f>
        <v>22.099999999999998</v>
      </c>
      <c r="H28" s="215">
        <f t="shared" ref="H28:I28" si="0">SUM(H24:H27)</f>
        <v>25.400000000000002</v>
      </c>
      <c r="I28" s="215">
        <f t="shared" si="0"/>
        <v>26.200000000000003</v>
      </c>
      <c r="J28" s="424">
        <v>28</v>
      </c>
      <c r="K28" s="425">
        <v>30</v>
      </c>
      <c r="L28" s="426">
        <v>32</v>
      </c>
      <c r="M28" s="426">
        <v>34</v>
      </c>
      <c r="N28" s="426">
        <v>36</v>
      </c>
      <c r="O28" s="426">
        <v>38</v>
      </c>
      <c r="P28" s="426">
        <v>40</v>
      </c>
      <c r="Q28" s="424">
        <v>42</v>
      </c>
    </row>
    <row r="29" spans="2:17" ht="15.75" x14ac:dyDescent="0.25">
      <c r="B29" s="579" t="s">
        <v>136</v>
      </c>
      <c r="C29" s="221" t="s">
        <v>358</v>
      </c>
      <c r="D29" s="139" t="s">
        <v>359</v>
      </c>
      <c r="E29" s="142" t="s">
        <v>199</v>
      </c>
      <c r="F29" s="377" t="s">
        <v>208</v>
      </c>
      <c r="G29" s="131">
        <v>6.9</v>
      </c>
      <c r="H29" s="131">
        <v>6.9</v>
      </c>
      <c r="I29" s="131">
        <v>5.5</v>
      </c>
      <c r="J29" s="132">
        <v>5.4</v>
      </c>
      <c r="K29" s="346">
        <v>5</v>
      </c>
      <c r="L29" s="131">
        <v>5</v>
      </c>
      <c r="M29" s="131">
        <v>5</v>
      </c>
      <c r="N29" s="131">
        <v>5</v>
      </c>
      <c r="O29" s="131">
        <v>5</v>
      </c>
      <c r="P29" s="131">
        <v>5</v>
      </c>
      <c r="Q29" s="132">
        <v>5</v>
      </c>
    </row>
    <row r="30" spans="2:17" ht="15.75" x14ac:dyDescent="0.25">
      <c r="B30" s="588" t="s">
        <v>137</v>
      </c>
      <c r="C30" s="222" t="s">
        <v>360</v>
      </c>
      <c r="D30" s="225"/>
      <c r="E30" s="431" t="s">
        <v>199</v>
      </c>
      <c r="F30" s="455" t="s">
        <v>208</v>
      </c>
      <c r="G30" s="223">
        <v>12.1</v>
      </c>
      <c r="H30" s="223">
        <v>13.9</v>
      </c>
      <c r="I30" s="223">
        <v>11.9</v>
      </c>
      <c r="J30" s="224">
        <v>13</v>
      </c>
      <c r="K30" s="417">
        <v>15</v>
      </c>
      <c r="L30" s="223">
        <v>15</v>
      </c>
      <c r="M30" s="223">
        <v>15</v>
      </c>
      <c r="N30" s="223">
        <v>15</v>
      </c>
      <c r="O30" s="223">
        <v>15</v>
      </c>
      <c r="P30" s="223">
        <v>15</v>
      </c>
      <c r="Q30" s="224">
        <v>15</v>
      </c>
    </row>
    <row r="31" spans="2:17" ht="15.75" x14ac:dyDescent="0.25">
      <c r="B31" s="581" t="s">
        <v>138</v>
      </c>
      <c r="C31" s="205"/>
      <c r="D31" s="206"/>
      <c r="E31" s="358"/>
      <c r="F31" s="459"/>
      <c r="G31" s="207">
        <v>8.4</v>
      </c>
      <c r="H31" s="207">
        <v>2</v>
      </c>
      <c r="I31" s="207">
        <v>3.3</v>
      </c>
      <c r="J31" s="208">
        <v>0</v>
      </c>
      <c r="K31" s="352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8">
        <v>0</v>
      </c>
    </row>
    <row r="32" spans="2:17" ht="16.5" thickBot="1" x14ac:dyDescent="0.3">
      <c r="C32" s="107"/>
      <c r="D32" s="139"/>
      <c r="E32" s="142"/>
      <c r="F32" s="107"/>
      <c r="G32" s="131"/>
      <c r="H32" s="131"/>
      <c r="I32" s="131"/>
      <c r="J32" s="132"/>
      <c r="K32" s="346"/>
      <c r="L32" s="131"/>
      <c r="M32" s="131"/>
      <c r="N32" s="131"/>
      <c r="O32" s="131"/>
      <c r="P32" s="131"/>
      <c r="Q32" s="132"/>
    </row>
    <row r="33" spans="2:37" ht="15.75" x14ac:dyDescent="0.25">
      <c r="C33" s="111" t="s">
        <v>80</v>
      </c>
      <c r="D33" s="140"/>
      <c r="E33" s="432"/>
      <c r="F33" s="111"/>
      <c r="G33" s="127">
        <f>SUM(G8:G23)+G28+G29+G30+G31</f>
        <v>1000.7</v>
      </c>
      <c r="H33" s="127">
        <f t="shared" ref="H33:Q33" si="1">SUM(H8:H23)+H28+H29+H30+H31</f>
        <v>988.89999999999986</v>
      </c>
      <c r="I33" s="466">
        <f t="shared" si="1"/>
        <v>999.50000000000011</v>
      </c>
      <c r="J33" s="128">
        <f t="shared" si="1"/>
        <v>907.09999999999991</v>
      </c>
      <c r="K33" s="344">
        <f t="shared" si="1"/>
        <v>911.7</v>
      </c>
      <c r="L33" s="127">
        <f t="shared" si="1"/>
        <v>902</v>
      </c>
      <c r="M33" s="127">
        <f t="shared" si="1"/>
        <v>906.3</v>
      </c>
      <c r="N33" s="127">
        <f t="shared" si="1"/>
        <v>931.5</v>
      </c>
      <c r="O33" s="127">
        <f t="shared" si="1"/>
        <v>958.5</v>
      </c>
      <c r="P33" s="127">
        <f t="shared" si="1"/>
        <v>990.5</v>
      </c>
      <c r="Q33" s="127">
        <f t="shared" si="1"/>
        <v>986.5</v>
      </c>
    </row>
    <row r="34" spans="2:37" ht="16.5" thickBot="1" x14ac:dyDescent="0.3">
      <c r="C34" s="135"/>
      <c r="D34" s="141"/>
      <c r="E34" s="397"/>
      <c r="F34" s="135"/>
      <c r="G34" s="136"/>
      <c r="H34" s="136"/>
      <c r="I34" s="136"/>
      <c r="J34" s="137"/>
      <c r="K34" s="347"/>
      <c r="L34" s="136"/>
      <c r="M34" s="136"/>
      <c r="N34" s="136"/>
      <c r="O34" s="136"/>
      <c r="P34" s="136"/>
      <c r="Q34" s="137"/>
    </row>
    <row r="40" spans="2:37" ht="18.75" x14ac:dyDescent="0.3">
      <c r="B40" s="266" t="s">
        <v>210</v>
      </c>
      <c r="S40" s="280" t="s">
        <v>214</v>
      </c>
    </row>
    <row r="43" spans="2:37" ht="15.75" x14ac:dyDescent="0.25">
      <c r="C43" s="27"/>
      <c r="D43" s="6" t="s">
        <v>1</v>
      </c>
      <c r="E43" s="6" t="s">
        <v>2</v>
      </c>
      <c r="F43" s="6" t="s">
        <v>206</v>
      </c>
      <c r="G43" s="125">
        <v>2012</v>
      </c>
      <c r="H43" s="125">
        <v>2013</v>
      </c>
      <c r="I43" s="125">
        <v>2014</v>
      </c>
      <c r="J43" s="126">
        <v>2015</v>
      </c>
      <c r="K43" s="343">
        <v>2016</v>
      </c>
      <c r="L43" s="125">
        <v>2017</v>
      </c>
      <c r="M43" s="125">
        <v>2018</v>
      </c>
      <c r="N43" s="125">
        <v>2019</v>
      </c>
      <c r="O43" s="125">
        <v>2020</v>
      </c>
      <c r="P43" s="125">
        <v>2021</v>
      </c>
      <c r="Q43" s="126">
        <v>2022</v>
      </c>
    </row>
    <row r="44" spans="2:37" ht="16.5" thickBot="1" x14ac:dyDescent="0.3">
      <c r="C44" s="27"/>
      <c r="D44" s="6"/>
      <c r="E44" s="6"/>
      <c r="F44" s="276" t="s">
        <v>207</v>
      </c>
      <c r="G44" s="125"/>
      <c r="H44" s="125"/>
      <c r="I44" s="125"/>
      <c r="J44" s="126"/>
      <c r="K44" s="343"/>
      <c r="L44" s="125"/>
      <c r="M44" s="125"/>
      <c r="N44" s="125"/>
      <c r="O44" s="125"/>
      <c r="P44" s="125"/>
      <c r="Q44" s="126"/>
    </row>
    <row r="45" spans="2:37" ht="15.75" x14ac:dyDescent="0.25">
      <c r="B45" s="583" t="s">
        <v>341</v>
      </c>
      <c r="C45" s="91" t="s">
        <v>116</v>
      </c>
      <c r="D45" s="143" t="s">
        <v>139</v>
      </c>
      <c r="E45" s="430" t="s">
        <v>199</v>
      </c>
      <c r="F45" s="342" t="s">
        <v>208</v>
      </c>
      <c r="G45" s="127">
        <v>166</v>
      </c>
      <c r="H45" s="127">
        <v>166</v>
      </c>
      <c r="I45" s="127">
        <v>150</v>
      </c>
      <c r="J45" s="128">
        <v>133</v>
      </c>
      <c r="K45" s="349">
        <v>148</v>
      </c>
      <c r="L45" s="127">
        <v>140</v>
      </c>
      <c r="M45" s="447">
        <v>140</v>
      </c>
      <c r="N45" s="447">
        <v>135</v>
      </c>
      <c r="O45" s="447">
        <v>135</v>
      </c>
      <c r="P45" s="447">
        <v>135</v>
      </c>
      <c r="Q45" s="448">
        <v>140</v>
      </c>
      <c r="S45" t="s">
        <v>329</v>
      </c>
      <c r="T45" t="s">
        <v>327</v>
      </c>
      <c r="AK45" t="s">
        <v>328</v>
      </c>
    </row>
    <row r="46" spans="2:37" ht="15.75" x14ac:dyDescent="0.25">
      <c r="B46" s="580"/>
      <c r="C46" s="216" t="s">
        <v>117</v>
      </c>
      <c r="D46" s="28" t="s">
        <v>140</v>
      </c>
      <c r="E46" s="29" t="s">
        <v>197</v>
      </c>
      <c r="F46" s="76" t="s">
        <v>208</v>
      </c>
      <c r="G46" s="203">
        <v>169.5</v>
      </c>
      <c r="H46" s="203">
        <v>151</v>
      </c>
      <c r="I46" s="203">
        <v>131</v>
      </c>
      <c r="J46" s="204">
        <v>70</v>
      </c>
      <c r="K46" s="356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4">
        <v>0</v>
      </c>
    </row>
    <row r="47" spans="2:37" ht="15.75" x14ac:dyDescent="0.25">
      <c r="B47" s="263" t="s">
        <v>342</v>
      </c>
      <c r="C47" s="209" t="s">
        <v>118</v>
      </c>
      <c r="D47" s="16" t="s">
        <v>141</v>
      </c>
      <c r="E47" s="56" t="s">
        <v>271</v>
      </c>
      <c r="F47" s="17" t="s">
        <v>208</v>
      </c>
      <c r="G47" s="211">
        <v>17.5</v>
      </c>
      <c r="H47" s="211">
        <v>20.6</v>
      </c>
      <c r="I47" s="211">
        <v>21.1</v>
      </c>
      <c r="J47" s="212">
        <v>12</v>
      </c>
      <c r="K47" s="354">
        <v>13</v>
      </c>
      <c r="L47" s="433">
        <f>187*9.7%*0.91</f>
        <v>16.506489999999999</v>
      </c>
      <c r="M47" s="211">
        <v>13</v>
      </c>
      <c r="N47" s="211">
        <v>13</v>
      </c>
      <c r="O47" s="435">
        <v>0</v>
      </c>
      <c r="P47" s="435">
        <v>0</v>
      </c>
      <c r="Q47" s="212">
        <v>0</v>
      </c>
      <c r="S47" t="s">
        <v>334</v>
      </c>
    </row>
    <row r="48" spans="2:37" ht="15.75" x14ac:dyDescent="0.25">
      <c r="B48" s="263"/>
      <c r="C48" s="213" t="s">
        <v>119</v>
      </c>
      <c r="D48" s="75" t="s">
        <v>141</v>
      </c>
      <c r="E48" s="76" t="s">
        <v>218</v>
      </c>
      <c r="F48" s="76" t="s">
        <v>208</v>
      </c>
      <c r="G48" s="218">
        <v>0</v>
      </c>
      <c r="H48" s="218">
        <v>0</v>
      </c>
      <c r="I48" s="218">
        <v>0</v>
      </c>
      <c r="J48" s="219">
        <v>0</v>
      </c>
      <c r="K48" s="355">
        <v>0</v>
      </c>
      <c r="L48" s="434">
        <v>7.3</v>
      </c>
      <c r="M48" s="393">
        <v>12.5</v>
      </c>
      <c r="N48" s="218">
        <v>12.5</v>
      </c>
      <c r="O48" s="218">
        <v>12.5</v>
      </c>
      <c r="P48" s="218">
        <v>12.5</v>
      </c>
      <c r="Q48" s="219">
        <v>12.5</v>
      </c>
      <c r="S48" t="s">
        <v>333</v>
      </c>
    </row>
    <row r="49" spans="2:19" ht="15.75" x14ac:dyDescent="0.25">
      <c r="B49" s="584" t="s">
        <v>343</v>
      </c>
      <c r="C49" s="217" t="s">
        <v>120</v>
      </c>
      <c r="D49" s="72" t="s">
        <v>142</v>
      </c>
      <c r="E49" s="299" t="s">
        <v>271</v>
      </c>
      <c r="F49" s="299" t="s">
        <v>208</v>
      </c>
      <c r="G49" s="207">
        <v>25.6</v>
      </c>
      <c r="H49" s="207">
        <v>21.7</v>
      </c>
      <c r="I49" s="207">
        <v>19.8</v>
      </c>
      <c r="J49" s="208">
        <v>21.3</v>
      </c>
      <c r="K49" s="391">
        <v>20.8</v>
      </c>
      <c r="L49" s="416">
        <v>15</v>
      </c>
      <c r="M49" s="416">
        <v>15</v>
      </c>
      <c r="N49" s="429">
        <v>10</v>
      </c>
      <c r="O49" s="207">
        <v>0</v>
      </c>
      <c r="P49" s="207">
        <v>0</v>
      </c>
      <c r="Q49" s="208">
        <v>0</v>
      </c>
      <c r="S49" t="s">
        <v>331</v>
      </c>
    </row>
    <row r="50" spans="2:19" ht="15.75" x14ac:dyDescent="0.25">
      <c r="B50" s="585"/>
      <c r="C50" s="123" t="s">
        <v>121</v>
      </c>
      <c r="D50" s="34" t="s">
        <v>139</v>
      </c>
      <c r="E50" s="299" t="s">
        <v>271</v>
      </c>
      <c r="F50" s="35" t="s">
        <v>208</v>
      </c>
      <c r="G50" s="129">
        <v>0</v>
      </c>
      <c r="H50" s="129">
        <v>1.5</v>
      </c>
      <c r="I50" s="129">
        <v>2.2999999999999998</v>
      </c>
      <c r="J50" s="130">
        <v>2.2000000000000002</v>
      </c>
      <c r="K50" s="366">
        <v>2.5</v>
      </c>
      <c r="L50" s="129">
        <v>2</v>
      </c>
      <c r="M50" s="129">
        <v>2</v>
      </c>
      <c r="N50" s="129">
        <v>2</v>
      </c>
      <c r="O50" s="129">
        <v>2</v>
      </c>
      <c r="P50" s="129">
        <v>0</v>
      </c>
      <c r="Q50" s="130">
        <v>0</v>
      </c>
    </row>
    <row r="51" spans="2:19" ht="15.75" x14ac:dyDescent="0.25">
      <c r="B51" s="580"/>
      <c r="C51" s="216" t="s">
        <v>122</v>
      </c>
      <c r="D51" s="436" t="s">
        <v>361</v>
      </c>
      <c r="E51" s="322" t="s">
        <v>330</v>
      </c>
      <c r="F51" s="322" t="s">
        <v>19</v>
      </c>
      <c r="G51" s="203">
        <v>25.9</v>
      </c>
      <c r="H51" s="203">
        <v>17.399999999999999</v>
      </c>
      <c r="I51" s="203">
        <v>10</v>
      </c>
      <c r="J51" s="204">
        <v>0</v>
      </c>
      <c r="K51" s="363">
        <v>22.6</v>
      </c>
      <c r="L51" s="439">
        <v>35</v>
      </c>
      <c r="M51" s="439">
        <v>40</v>
      </c>
      <c r="N51" s="439">
        <v>40</v>
      </c>
      <c r="O51" s="439">
        <v>40</v>
      </c>
      <c r="P51" s="439">
        <v>40</v>
      </c>
      <c r="Q51" s="440">
        <v>40</v>
      </c>
      <c r="S51" t="s">
        <v>335</v>
      </c>
    </row>
    <row r="52" spans="2:19" ht="15.75" x14ac:dyDescent="0.25">
      <c r="B52" s="263" t="s">
        <v>344</v>
      </c>
      <c r="C52" s="209" t="s">
        <v>123</v>
      </c>
      <c r="D52" s="16" t="s">
        <v>139</v>
      </c>
      <c r="E52" s="56" t="s">
        <v>199</v>
      </c>
      <c r="F52" s="17" t="s">
        <v>208</v>
      </c>
      <c r="G52" s="211">
        <v>75</v>
      </c>
      <c r="H52" s="211">
        <v>70</v>
      </c>
      <c r="I52" s="211">
        <v>99</v>
      </c>
      <c r="J52" s="212">
        <v>108</v>
      </c>
      <c r="K52" s="365">
        <v>109</v>
      </c>
      <c r="L52" s="211">
        <v>113</v>
      </c>
      <c r="M52" s="211">
        <v>110</v>
      </c>
      <c r="N52" s="211">
        <v>110</v>
      </c>
      <c r="O52" s="211">
        <v>108</v>
      </c>
      <c r="P52" s="211">
        <v>108</v>
      </c>
      <c r="Q52" s="212">
        <v>102</v>
      </c>
    </row>
    <row r="53" spans="2:19" ht="15.75" x14ac:dyDescent="0.25">
      <c r="B53" s="263"/>
      <c r="C53" s="124" t="s">
        <v>124</v>
      </c>
      <c r="D53" s="34" t="s">
        <v>139</v>
      </c>
      <c r="E53" s="56" t="s">
        <v>199</v>
      </c>
      <c r="F53" s="35" t="s">
        <v>208</v>
      </c>
      <c r="G53" s="129">
        <v>30</v>
      </c>
      <c r="H53" s="129">
        <v>35</v>
      </c>
      <c r="I53" s="129">
        <v>45</v>
      </c>
      <c r="J53" s="130">
        <v>56</v>
      </c>
      <c r="K53" s="366">
        <v>70</v>
      </c>
      <c r="L53" s="129">
        <v>75</v>
      </c>
      <c r="M53" s="129">
        <v>75</v>
      </c>
      <c r="N53" s="129">
        <v>80</v>
      </c>
      <c r="O53" s="129">
        <v>80</v>
      </c>
      <c r="P53" s="129">
        <v>80</v>
      </c>
      <c r="Q53" s="130">
        <v>80</v>
      </c>
    </row>
    <row r="54" spans="2:19" ht="15.75" x14ac:dyDescent="0.25">
      <c r="B54" s="263"/>
      <c r="C54" s="213" t="s">
        <v>125</v>
      </c>
      <c r="D54" s="75" t="s">
        <v>144</v>
      </c>
      <c r="E54" s="56" t="s">
        <v>199</v>
      </c>
      <c r="F54" s="76" t="s">
        <v>208</v>
      </c>
      <c r="G54" s="218">
        <v>83.2</v>
      </c>
      <c r="H54" s="218">
        <v>71.400000000000006</v>
      </c>
      <c r="I54" s="218">
        <v>77.7</v>
      </c>
      <c r="J54" s="219">
        <v>83.5</v>
      </c>
      <c r="K54" s="386">
        <v>78.5</v>
      </c>
      <c r="L54" s="410">
        <v>82</v>
      </c>
      <c r="M54" s="218">
        <v>82</v>
      </c>
      <c r="N54" s="218">
        <v>82</v>
      </c>
      <c r="O54" s="218">
        <v>82</v>
      </c>
      <c r="P54" s="218">
        <v>82</v>
      </c>
      <c r="Q54" s="219">
        <v>82</v>
      </c>
    </row>
    <row r="55" spans="2:19" ht="15.75" x14ac:dyDescent="0.25">
      <c r="B55" s="586" t="s">
        <v>345</v>
      </c>
      <c r="C55" s="221" t="s">
        <v>126</v>
      </c>
      <c r="D55" s="28" t="s">
        <v>144</v>
      </c>
      <c r="E55" s="56" t="s">
        <v>320</v>
      </c>
      <c r="F55" s="29" t="s">
        <v>208</v>
      </c>
      <c r="G55" s="131">
        <v>30</v>
      </c>
      <c r="H55" s="131">
        <v>53.4</v>
      </c>
      <c r="I55" s="131">
        <v>67.400000000000006</v>
      </c>
      <c r="J55" s="132">
        <v>61.9</v>
      </c>
      <c r="K55" s="427">
        <v>69.5</v>
      </c>
      <c r="L55" s="428">
        <v>71</v>
      </c>
      <c r="M55" s="131">
        <v>70</v>
      </c>
      <c r="N55" s="131">
        <v>90</v>
      </c>
      <c r="O55" s="131">
        <v>120</v>
      </c>
      <c r="P55" s="131">
        <v>150</v>
      </c>
      <c r="Q55" s="132">
        <v>150</v>
      </c>
    </row>
    <row r="56" spans="2:19" ht="15.75" x14ac:dyDescent="0.25">
      <c r="B56" s="586" t="s">
        <v>346</v>
      </c>
      <c r="C56" s="222" t="s">
        <v>127</v>
      </c>
      <c r="D56" s="10" t="s">
        <v>145</v>
      </c>
      <c r="E56" s="56" t="s">
        <v>320</v>
      </c>
      <c r="F56" s="11" t="s">
        <v>208</v>
      </c>
      <c r="G56" s="223">
        <v>28</v>
      </c>
      <c r="H56" s="223">
        <v>30.9</v>
      </c>
      <c r="I56" s="223">
        <v>31.6</v>
      </c>
      <c r="J56" s="441">
        <v>55</v>
      </c>
      <c r="K56" s="442">
        <v>75</v>
      </c>
      <c r="L56" s="443">
        <v>75</v>
      </c>
      <c r="M56" s="444">
        <v>75</v>
      </c>
      <c r="N56" s="444">
        <v>75</v>
      </c>
      <c r="O56" s="444">
        <v>75</v>
      </c>
      <c r="P56" s="444">
        <v>75</v>
      </c>
      <c r="Q56" s="445">
        <v>75</v>
      </c>
      <c r="S56" t="s">
        <v>363</v>
      </c>
    </row>
    <row r="57" spans="2:19" ht="15.75" x14ac:dyDescent="0.25">
      <c r="B57" s="263" t="s">
        <v>347</v>
      </c>
      <c r="C57" s="205" t="s">
        <v>128</v>
      </c>
      <c r="D57" s="72" t="s">
        <v>142</v>
      </c>
      <c r="E57" s="17" t="s">
        <v>271</v>
      </c>
      <c r="F57" s="453" t="s">
        <v>208</v>
      </c>
      <c r="G57" s="207">
        <v>40</v>
      </c>
      <c r="H57" s="207">
        <v>43.1</v>
      </c>
      <c r="I57" s="207">
        <v>36.200000000000003</v>
      </c>
      <c r="J57" s="208">
        <v>19.8</v>
      </c>
      <c r="K57" s="391">
        <v>8.1</v>
      </c>
      <c r="L57" s="429">
        <v>5</v>
      </c>
      <c r="M57" s="429">
        <v>5</v>
      </c>
      <c r="N57" s="429">
        <v>5</v>
      </c>
      <c r="O57" s="207">
        <v>0</v>
      </c>
      <c r="P57" s="207">
        <v>0</v>
      </c>
      <c r="Q57" s="208">
        <v>0</v>
      </c>
      <c r="S57" t="s">
        <v>332</v>
      </c>
    </row>
    <row r="58" spans="2:19" ht="15.75" x14ac:dyDescent="0.25">
      <c r="B58" s="263"/>
      <c r="C58" s="201" t="s">
        <v>129</v>
      </c>
      <c r="D58" s="202"/>
      <c r="E58" s="357"/>
      <c r="F58" s="454" t="s">
        <v>350</v>
      </c>
      <c r="G58" s="439">
        <v>101</v>
      </c>
      <c r="H58" s="439">
        <v>95</v>
      </c>
      <c r="I58" s="439">
        <v>95</v>
      </c>
      <c r="J58" s="440">
        <v>100</v>
      </c>
      <c r="K58" s="446">
        <v>132</v>
      </c>
      <c r="L58" s="439">
        <v>151</v>
      </c>
      <c r="M58" s="439">
        <v>151</v>
      </c>
      <c r="N58" s="439">
        <v>150</v>
      </c>
      <c r="O58" s="439">
        <v>150</v>
      </c>
      <c r="P58" s="439">
        <v>150</v>
      </c>
      <c r="Q58" s="440">
        <v>150</v>
      </c>
      <c r="S58" t="s">
        <v>362</v>
      </c>
    </row>
    <row r="59" spans="2:19" ht="15.75" x14ac:dyDescent="0.25">
      <c r="B59" s="586" t="s">
        <v>348</v>
      </c>
      <c r="C59" s="222" t="s">
        <v>130</v>
      </c>
      <c r="D59" s="225" t="s">
        <v>146</v>
      </c>
      <c r="E59" s="11" t="s">
        <v>271</v>
      </c>
      <c r="F59" s="455" t="s">
        <v>208</v>
      </c>
      <c r="G59" s="223">
        <v>76.7</v>
      </c>
      <c r="H59" s="223">
        <v>75.900000000000006</v>
      </c>
      <c r="I59" s="223">
        <v>56</v>
      </c>
      <c r="J59" s="224">
        <v>50</v>
      </c>
      <c r="K59" s="417">
        <v>50</v>
      </c>
      <c r="L59" s="223">
        <v>20</v>
      </c>
      <c r="M59" s="223">
        <v>0</v>
      </c>
      <c r="N59" s="223">
        <v>0</v>
      </c>
      <c r="O59" s="223">
        <v>0</v>
      </c>
      <c r="P59" s="223">
        <v>0</v>
      </c>
      <c r="Q59" s="224">
        <v>0</v>
      </c>
    </row>
    <row r="60" spans="2:19" ht="15.75" x14ac:dyDescent="0.25">
      <c r="B60" s="263" t="s">
        <v>349</v>
      </c>
      <c r="C60" s="221" t="s">
        <v>131</v>
      </c>
      <c r="D60" s="139" t="s">
        <v>147</v>
      </c>
      <c r="E60" s="56" t="s">
        <v>199</v>
      </c>
      <c r="F60" s="377" t="s">
        <v>208</v>
      </c>
      <c r="G60" s="131">
        <v>28</v>
      </c>
      <c r="H60" s="131">
        <v>30.9</v>
      </c>
      <c r="I60" s="131">
        <v>31.6</v>
      </c>
      <c r="J60" s="132">
        <v>33</v>
      </c>
      <c r="K60" s="346">
        <v>33</v>
      </c>
      <c r="L60" s="131">
        <v>33</v>
      </c>
      <c r="M60" s="131">
        <v>33</v>
      </c>
      <c r="N60" s="131">
        <v>33</v>
      </c>
      <c r="O60" s="131">
        <v>33</v>
      </c>
      <c r="P60" s="131">
        <v>33</v>
      </c>
      <c r="Q60" s="132">
        <v>33</v>
      </c>
    </row>
    <row r="61" spans="2:19" ht="15.75" x14ac:dyDescent="0.25">
      <c r="B61" s="587" t="s">
        <v>132</v>
      </c>
      <c r="C61" s="451" t="s">
        <v>352</v>
      </c>
      <c r="D61" s="210" t="s">
        <v>351</v>
      </c>
      <c r="E61" s="359" t="s">
        <v>199</v>
      </c>
      <c r="F61" s="456" t="s">
        <v>208</v>
      </c>
      <c r="G61" s="211">
        <v>7.6</v>
      </c>
      <c r="H61" s="211">
        <v>9.1</v>
      </c>
      <c r="I61" s="211">
        <v>8.1</v>
      </c>
      <c r="J61" s="418"/>
      <c r="K61" s="419"/>
      <c r="L61" s="420"/>
      <c r="M61" s="420"/>
      <c r="N61" s="420"/>
      <c r="O61" s="420"/>
      <c r="P61" s="420"/>
      <c r="Q61" s="418"/>
      <c r="S61" t="s">
        <v>481</v>
      </c>
    </row>
    <row r="62" spans="2:19" ht="15.75" x14ac:dyDescent="0.25">
      <c r="B62" s="582" t="s">
        <v>133</v>
      </c>
      <c r="C62" s="452" t="s">
        <v>353</v>
      </c>
      <c r="D62" s="138" t="s">
        <v>354</v>
      </c>
      <c r="E62" s="341" t="s">
        <v>199</v>
      </c>
      <c r="F62" s="457" t="s">
        <v>208</v>
      </c>
      <c r="G62" s="129">
        <v>3.8</v>
      </c>
      <c r="H62" s="129">
        <v>5</v>
      </c>
      <c r="I62" s="129">
        <v>5.5</v>
      </c>
      <c r="J62" s="421"/>
      <c r="K62" s="422"/>
      <c r="L62" s="423"/>
      <c r="M62" s="423"/>
      <c r="N62" s="423"/>
      <c r="O62" s="423"/>
      <c r="P62" s="423"/>
      <c r="Q62" s="421"/>
      <c r="S62" t="s">
        <v>338</v>
      </c>
    </row>
    <row r="63" spans="2:19" ht="15.75" x14ac:dyDescent="0.25">
      <c r="B63" s="582" t="s">
        <v>134</v>
      </c>
      <c r="C63" s="452" t="s">
        <v>355</v>
      </c>
      <c r="D63" s="138" t="s">
        <v>356</v>
      </c>
      <c r="E63" s="341" t="s">
        <v>199</v>
      </c>
      <c r="F63" s="457" t="s">
        <v>19</v>
      </c>
      <c r="G63" s="129">
        <v>4.7</v>
      </c>
      <c r="H63" s="129">
        <v>5.5</v>
      </c>
      <c r="I63" s="129">
        <v>5.5</v>
      </c>
      <c r="J63" s="421"/>
      <c r="K63" s="422"/>
      <c r="L63" s="423"/>
      <c r="M63" s="423"/>
      <c r="N63" s="423"/>
      <c r="O63" s="423"/>
      <c r="P63" s="423"/>
      <c r="Q63" s="421"/>
    </row>
    <row r="64" spans="2:19" ht="15.75" x14ac:dyDescent="0.25">
      <c r="B64" s="582" t="s">
        <v>135</v>
      </c>
      <c r="C64" s="460" t="s">
        <v>357</v>
      </c>
      <c r="D64" s="138" t="s">
        <v>351</v>
      </c>
      <c r="E64" s="341" t="s">
        <v>199</v>
      </c>
      <c r="F64" s="457" t="s">
        <v>208</v>
      </c>
      <c r="G64" s="129">
        <v>6</v>
      </c>
      <c r="H64" s="129">
        <v>5.8</v>
      </c>
      <c r="I64" s="129">
        <v>7.1</v>
      </c>
      <c r="J64" s="421"/>
      <c r="K64" s="422"/>
      <c r="L64" s="423"/>
      <c r="M64" s="423"/>
      <c r="N64" s="423"/>
      <c r="O64" s="423"/>
      <c r="P64" s="423"/>
      <c r="Q64" s="421"/>
    </row>
    <row r="65" spans="2:20" ht="15.75" x14ac:dyDescent="0.25">
      <c r="B65" s="580"/>
      <c r="C65" s="226" t="s">
        <v>78</v>
      </c>
      <c r="D65" s="214"/>
      <c r="E65" s="360"/>
      <c r="F65" s="458"/>
      <c r="G65" s="215">
        <f>SUM(G61:G64)</f>
        <v>22.099999999999998</v>
      </c>
      <c r="H65" s="215">
        <f t="shared" ref="H65:I65" si="2">SUM(H61:H64)</f>
        <v>25.400000000000002</v>
      </c>
      <c r="I65" s="215">
        <f t="shared" si="2"/>
        <v>26.200000000000003</v>
      </c>
      <c r="J65" s="424">
        <v>28</v>
      </c>
      <c r="K65" s="425">
        <v>30</v>
      </c>
      <c r="L65" s="426">
        <v>32</v>
      </c>
      <c r="M65" s="426">
        <v>34</v>
      </c>
      <c r="N65" s="426">
        <v>36</v>
      </c>
      <c r="O65" s="426">
        <v>38</v>
      </c>
      <c r="P65" s="426">
        <v>40</v>
      </c>
      <c r="Q65" s="424">
        <v>42</v>
      </c>
    </row>
    <row r="66" spans="2:20" ht="15.75" x14ac:dyDescent="0.25">
      <c r="B66" s="579" t="s">
        <v>136</v>
      </c>
      <c r="C66" s="221" t="s">
        <v>358</v>
      </c>
      <c r="D66" s="139" t="s">
        <v>359</v>
      </c>
      <c r="E66" s="142" t="s">
        <v>199</v>
      </c>
      <c r="F66" s="377" t="s">
        <v>208</v>
      </c>
      <c r="G66" s="131">
        <v>6.9</v>
      </c>
      <c r="H66" s="131">
        <v>6.9</v>
      </c>
      <c r="I66" s="131">
        <v>5.5</v>
      </c>
      <c r="J66" s="132">
        <v>5.4</v>
      </c>
      <c r="K66" s="346">
        <v>5</v>
      </c>
      <c r="L66" s="131">
        <v>5</v>
      </c>
      <c r="M66" s="131">
        <v>5</v>
      </c>
      <c r="N66" s="131">
        <v>5</v>
      </c>
      <c r="O66" s="131">
        <v>5</v>
      </c>
      <c r="P66" s="131">
        <v>5</v>
      </c>
      <c r="Q66" s="132">
        <v>5</v>
      </c>
    </row>
    <row r="67" spans="2:20" ht="15.75" x14ac:dyDescent="0.25">
      <c r="B67" s="588" t="s">
        <v>137</v>
      </c>
      <c r="C67" s="222" t="s">
        <v>360</v>
      </c>
      <c r="D67" s="225"/>
      <c r="E67" s="431" t="s">
        <v>199</v>
      </c>
      <c r="F67" s="455" t="s">
        <v>208</v>
      </c>
      <c r="G67" s="223">
        <v>12.1</v>
      </c>
      <c r="H67" s="223">
        <v>13.9</v>
      </c>
      <c r="I67" s="223">
        <v>11.9</v>
      </c>
      <c r="J67" s="224">
        <v>13</v>
      </c>
      <c r="K67" s="417">
        <v>15</v>
      </c>
      <c r="L67" s="223">
        <v>15</v>
      </c>
      <c r="M67" s="223">
        <v>15</v>
      </c>
      <c r="N67" s="223">
        <v>15</v>
      </c>
      <c r="O67" s="223">
        <v>15</v>
      </c>
      <c r="P67" s="223">
        <v>15</v>
      </c>
      <c r="Q67" s="224">
        <v>15</v>
      </c>
    </row>
    <row r="68" spans="2:20" ht="15.75" x14ac:dyDescent="0.25">
      <c r="B68" s="581" t="s">
        <v>138</v>
      </c>
      <c r="C68" s="205"/>
      <c r="D68" s="206"/>
      <c r="E68" s="358"/>
      <c r="F68" s="459"/>
      <c r="G68" s="207">
        <v>8.4</v>
      </c>
      <c r="H68" s="207">
        <v>2</v>
      </c>
      <c r="I68" s="207">
        <v>3.3</v>
      </c>
      <c r="J68" s="208">
        <v>0</v>
      </c>
      <c r="K68" s="589">
        <v>1</v>
      </c>
      <c r="L68" s="387">
        <v>1</v>
      </c>
      <c r="M68" s="387">
        <v>1</v>
      </c>
      <c r="N68" s="387">
        <v>1</v>
      </c>
      <c r="O68" s="387">
        <v>1</v>
      </c>
      <c r="P68" s="387">
        <v>1</v>
      </c>
      <c r="Q68" s="590">
        <v>1</v>
      </c>
      <c r="S68" t="s">
        <v>336</v>
      </c>
      <c r="T68" t="s">
        <v>337</v>
      </c>
    </row>
    <row r="69" spans="2:20" ht="16.5" thickBot="1" x14ac:dyDescent="0.3">
      <c r="C69" s="107"/>
      <c r="D69" s="139"/>
      <c r="E69" s="142"/>
      <c r="F69" s="118"/>
      <c r="G69" s="131"/>
      <c r="H69" s="131"/>
      <c r="I69" s="131"/>
      <c r="J69" s="132"/>
      <c r="K69" s="346"/>
      <c r="L69" s="131"/>
      <c r="M69" s="131"/>
      <c r="N69" s="131"/>
      <c r="O69" s="131"/>
      <c r="P69" s="131"/>
      <c r="Q69" s="132"/>
    </row>
    <row r="70" spans="2:20" ht="15.75" x14ac:dyDescent="0.25">
      <c r="C70" s="111"/>
      <c r="D70" s="140"/>
      <c r="E70" s="432"/>
      <c r="F70" s="111"/>
      <c r="G70" s="127">
        <f>SUM(G45:G60)+G65+G66+G67+G68</f>
        <v>945.90000000000009</v>
      </c>
      <c r="H70" s="127">
        <f t="shared" ref="H70:Q70" si="3">SUM(H45:H60)+H65+H66+H67+H68</f>
        <v>931.99999999999989</v>
      </c>
      <c r="I70" s="466">
        <f t="shared" si="3"/>
        <v>920.60000000000014</v>
      </c>
      <c r="J70" s="128">
        <f t="shared" si="3"/>
        <v>852.09999999999991</v>
      </c>
      <c r="K70" s="344">
        <f t="shared" si="3"/>
        <v>883</v>
      </c>
      <c r="L70" s="127">
        <f t="shared" si="3"/>
        <v>893.80648999999994</v>
      </c>
      <c r="M70" s="127">
        <f t="shared" si="3"/>
        <v>878.5</v>
      </c>
      <c r="N70" s="127">
        <f t="shared" si="3"/>
        <v>894.5</v>
      </c>
      <c r="O70" s="127">
        <f t="shared" si="3"/>
        <v>896.5</v>
      </c>
      <c r="P70" s="127">
        <f t="shared" si="3"/>
        <v>926.5</v>
      </c>
      <c r="Q70" s="462">
        <f t="shared" si="3"/>
        <v>927.5</v>
      </c>
    </row>
    <row r="71" spans="2:20" ht="16.5" thickBot="1" x14ac:dyDescent="0.3">
      <c r="C71" s="135"/>
      <c r="D71" s="141"/>
      <c r="E71" s="397"/>
      <c r="F71" s="135"/>
      <c r="G71" s="136"/>
      <c r="H71" s="136"/>
      <c r="I71" s="136"/>
      <c r="J71" s="137"/>
      <c r="K71" s="347"/>
      <c r="L71" s="136"/>
      <c r="M71" s="136"/>
      <c r="N71" s="136"/>
      <c r="O71" s="136"/>
      <c r="P71" s="136"/>
      <c r="Q71" s="137"/>
    </row>
    <row r="72" spans="2:20" ht="15.75" x14ac:dyDescent="0.25">
      <c r="C72" s="111" t="s">
        <v>80</v>
      </c>
      <c r="D72" s="140"/>
      <c r="E72" s="432"/>
      <c r="F72" s="111"/>
      <c r="G72" s="127"/>
      <c r="H72" s="127"/>
      <c r="I72" s="127"/>
      <c r="J72" s="128"/>
      <c r="K72" s="344"/>
      <c r="L72" s="127"/>
      <c r="M72" s="127"/>
      <c r="N72" s="127"/>
      <c r="O72" s="127"/>
      <c r="P72" s="127"/>
      <c r="Q72" s="128"/>
    </row>
    <row r="73" spans="2:20" ht="15.75" x14ac:dyDescent="0.25">
      <c r="C73" s="118" t="s">
        <v>81</v>
      </c>
      <c r="D73" s="142"/>
      <c r="E73" s="142"/>
      <c r="F73" s="118"/>
      <c r="G73" s="67"/>
      <c r="H73" s="133"/>
      <c r="I73" s="133"/>
      <c r="J73" s="134"/>
      <c r="K73" s="348"/>
      <c r="L73" s="133"/>
      <c r="M73" s="133"/>
      <c r="N73" s="133"/>
      <c r="O73" s="133"/>
      <c r="P73" s="133"/>
      <c r="Q73" s="134"/>
    </row>
    <row r="74" spans="2:20" x14ac:dyDescent="0.25">
      <c r="S74" s="389" t="s">
        <v>116</v>
      </c>
    </row>
    <row r="75" spans="2:20" x14ac:dyDescent="0.25">
      <c r="S75" t="s">
        <v>339</v>
      </c>
    </row>
    <row r="76" spans="2:20" ht="18.75" x14ac:dyDescent="0.3">
      <c r="C76" s="280" t="s">
        <v>211</v>
      </c>
      <c r="F76" s="166"/>
      <c r="S76" t="s">
        <v>365</v>
      </c>
    </row>
    <row r="77" spans="2:20" x14ac:dyDescent="0.25">
      <c r="F77" s="166"/>
      <c r="S77" t="s">
        <v>340</v>
      </c>
    </row>
    <row r="78" spans="2:20" ht="15.75" x14ac:dyDescent="0.25">
      <c r="C78" t="s">
        <v>212</v>
      </c>
      <c r="D78" s="296">
        <v>51.6</v>
      </c>
      <c r="F78" s="11" t="s">
        <v>209</v>
      </c>
      <c r="G78" t="s">
        <v>249</v>
      </c>
    </row>
    <row r="79" spans="2:20" ht="15.75" x14ac:dyDescent="0.25">
      <c r="C79" t="s">
        <v>213</v>
      </c>
      <c r="D79" s="297">
        <v>49</v>
      </c>
      <c r="F79" s="11" t="s">
        <v>201</v>
      </c>
      <c r="G79" t="s">
        <v>292</v>
      </c>
    </row>
    <row r="80" spans="2:20" ht="15.75" x14ac:dyDescent="0.25">
      <c r="C80" t="s">
        <v>302</v>
      </c>
      <c r="D80" s="298">
        <v>36</v>
      </c>
      <c r="F80" s="166"/>
    </row>
    <row r="81" spans="6:17" x14ac:dyDescent="0.25">
      <c r="F81" s="166"/>
    </row>
    <row r="82" spans="6:17" ht="15.75" x14ac:dyDescent="0.25">
      <c r="F82" s="6" t="s">
        <v>206</v>
      </c>
      <c r="G82" s="6">
        <v>2012</v>
      </c>
      <c r="H82" s="6">
        <f>+G82+1</f>
        <v>2013</v>
      </c>
      <c r="I82" s="6">
        <f t="shared" ref="I82:Q82" si="4">+H82+1</f>
        <v>2014</v>
      </c>
      <c r="J82" s="7">
        <f t="shared" si="4"/>
        <v>2015</v>
      </c>
      <c r="K82" s="8">
        <f t="shared" si="4"/>
        <v>2016</v>
      </c>
      <c r="L82" s="6">
        <f t="shared" si="4"/>
        <v>2017</v>
      </c>
      <c r="M82" s="6">
        <f t="shared" si="4"/>
        <v>2018</v>
      </c>
      <c r="N82" s="6">
        <f t="shared" si="4"/>
        <v>2019</v>
      </c>
      <c r="O82" s="6">
        <f t="shared" si="4"/>
        <v>2020</v>
      </c>
      <c r="P82" s="6">
        <f t="shared" si="4"/>
        <v>2021</v>
      </c>
      <c r="Q82" s="6">
        <f t="shared" si="4"/>
        <v>2022</v>
      </c>
    </row>
    <row r="83" spans="6:17" x14ac:dyDescent="0.25">
      <c r="F83" s="276" t="s">
        <v>207</v>
      </c>
      <c r="G83" s="2"/>
      <c r="H83" s="2"/>
      <c r="I83" s="2"/>
      <c r="J83" s="3"/>
      <c r="K83" s="4"/>
      <c r="L83" s="2"/>
      <c r="M83" s="2"/>
      <c r="N83" s="2"/>
      <c r="O83" s="2"/>
      <c r="P83" s="2"/>
      <c r="Q83" s="2"/>
    </row>
    <row r="84" spans="6:17" ht="15.75" x14ac:dyDescent="0.25">
      <c r="F84" s="11" t="s">
        <v>208</v>
      </c>
      <c r="G84" s="398">
        <f>+G70-G85</f>
        <v>834.50000000000011</v>
      </c>
      <c r="H84" s="463">
        <f t="shared" ref="H84:Q84" si="5">+H70-H85</f>
        <v>833.09999999999991</v>
      </c>
      <c r="I84" s="463">
        <f t="shared" si="5"/>
        <v>829.10000000000014</v>
      </c>
      <c r="J84" s="464">
        <f t="shared" si="5"/>
        <v>772.09999999999991</v>
      </c>
      <c r="K84" s="465">
        <f t="shared" si="5"/>
        <v>754.8</v>
      </c>
      <c r="L84" s="463">
        <f t="shared" si="5"/>
        <v>738.00648999999999</v>
      </c>
      <c r="M84" s="463">
        <f t="shared" si="5"/>
        <v>717.7</v>
      </c>
      <c r="N84" s="463">
        <f t="shared" si="5"/>
        <v>734.5</v>
      </c>
      <c r="O84" s="463">
        <f t="shared" si="5"/>
        <v>736.5</v>
      </c>
      <c r="P84" s="463">
        <f t="shared" si="5"/>
        <v>766.5</v>
      </c>
      <c r="Q84" s="463">
        <f t="shared" si="5"/>
        <v>767.5</v>
      </c>
    </row>
    <row r="85" spans="6:17" ht="15.75" x14ac:dyDescent="0.25">
      <c r="F85" s="11" t="s">
        <v>19</v>
      </c>
      <c r="G85" s="293">
        <f>+G63+G51+G58*0.8</f>
        <v>111.4</v>
      </c>
      <c r="H85" s="463">
        <f t="shared" ref="H85:Q85" si="6">+H63+H51+H58*0.8</f>
        <v>98.9</v>
      </c>
      <c r="I85" s="463">
        <f t="shared" si="6"/>
        <v>91.5</v>
      </c>
      <c r="J85" s="464">
        <f t="shared" si="6"/>
        <v>80</v>
      </c>
      <c r="K85" s="465">
        <f t="shared" si="6"/>
        <v>128.20000000000002</v>
      </c>
      <c r="L85" s="463">
        <f t="shared" si="6"/>
        <v>155.80000000000001</v>
      </c>
      <c r="M85" s="463">
        <f t="shared" si="6"/>
        <v>160.80000000000001</v>
      </c>
      <c r="N85" s="463">
        <f t="shared" si="6"/>
        <v>160</v>
      </c>
      <c r="O85" s="463">
        <f t="shared" si="6"/>
        <v>160</v>
      </c>
      <c r="P85" s="463">
        <f t="shared" si="6"/>
        <v>160</v>
      </c>
      <c r="Q85" s="463">
        <f t="shared" si="6"/>
        <v>160</v>
      </c>
    </row>
    <row r="86" spans="6:17" x14ac:dyDescent="0.25">
      <c r="F86" t="s">
        <v>364</v>
      </c>
    </row>
  </sheetData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62"/>
  <sheetViews>
    <sheetView workbookViewId="0"/>
  </sheetViews>
  <sheetFormatPr defaultRowHeight="15" x14ac:dyDescent="0.25"/>
  <cols>
    <col min="2" max="2" width="24" customWidth="1"/>
    <col min="3" max="3" width="21.140625" style="166" customWidth="1"/>
    <col min="4" max="4" width="21.140625" customWidth="1"/>
    <col min="5" max="5" width="14.7109375" customWidth="1"/>
    <col min="10" max="10" width="9.5703125" bestFit="1" customWidth="1"/>
    <col min="18" max="18" width="83.7109375" customWidth="1"/>
  </cols>
  <sheetData>
    <row r="1" spans="2:16" ht="18.75" x14ac:dyDescent="0.3">
      <c r="B1" s="266" t="s">
        <v>556</v>
      </c>
      <c r="H1" s="266" t="s">
        <v>562</v>
      </c>
    </row>
    <row r="4" spans="2:16" ht="18.75" x14ac:dyDescent="0.3">
      <c r="B4" s="266" t="s">
        <v>187</v>
      </c>
    </row>
    <row r="5" spans="2:16" ht="15.75" x14ac:dyDescent="0.25">
      <c r="B5" s="815" t="s">
        <v>0</v>
      </c>
      <c r="C5" s="168"/>
      <c r="D5" s="168"/>
      <c r="E5" s="6" t="s">
        <v>206</v>
      </c>
      <c r="F5" s="809">
        <v>2012</v>
      </c>
      <c r="G5" s="809">
        <v>2013</v>
      </c>
      <c r="H5" s="809">
        <v>2014</v>
      </c>
      <c r="I5" s="811">
        <v>2015</v>
      </c>
      <c r="J5" s="813">
        <v>2016</v>
      </c>
      <c r="K5" s="809">
        <v>2017</v>
      </c>
      <c r="L5" s="809">
        <v>2018</v>
      </c>
      <c r="M5" s="809">
        <v>2019</v>
      </c>
      <c r="N5" s="809">
        <v>2020</v>
      </c>
      <c r="O5" s="809">
        <v>2021</v>
      </c>
      <c r="P5" s="811">
        <v>2022</v>
      </c>
    </row>
    <row r="6" spans="2:16" ht="16.5" thickBot="1" x14ac:dyDescent="0.3">
      <c r="B6" s="816"/>
      <c r="C6" s="165" t="s">
        <v>1</v>
      </c>
      <c r="D6" s="165" t="s">
        <v>2</v>
      </c>
      <c r="E6" s="276" t="s">
        <v>207</v>
      </c>
      <c r="F6" s="810"/>
      <c r="G6" s="810"/>
      <c r="H6" s="810"/>
      <c r="I6" s="812"/>
      <c r="J6" s="814"/>
      <c r="K6" s="810"/>
      <c r="L6" s="810"/>
      <c r="M6" s="810"/>
      <c r="N6" s="810"/>
      <c r="O6" s="810"/>
      <c r="P6" s="812"/>
    </row>
    <row r="7" spans="2:16" ht="15.75" x14ac:dyDescent="0.25">
      <c r="B7" s="169" t="s">
        <v>195</v>
      </c>
      <c r="C7" s="751" t="s">
        <v>84</v>
      </c>
      <c r="D7" s="170" t="s">
        <v>199</v>
      </c>
      <c r="E7" s="470" t="s">
        <v>19</v>
      </c>
      <c r="F7" s="171">
        <f>+F53/1000</f>
        <v>174</v>
      </c>
      <c r="G7" s="171">
        <f t="shared" ref="G7:P7" si="0">+G53/1000</f>
        <v>150</v>
      </c>
      <c r="H7" s="171">
        <f t="shared" si="0"/>
        <v>179</v>
      </c>
      <c r="I7" s="172">
        <f t="shared" si="0"/>
        <v>209</v>
      </c>
      <c r="J7" s="405">
        <f t="shared" si="0"/>
        <v>134</v>
      </c>
      <c r="K7" s="171">
        <f t="shared" si="0"/>
        <v>200.6</v>
      </c>
      <c r="L7" s="171">
        <f t="shared" si="0"/>
        <v>200.6</v>
      </c>
      <c r="M7" s="171">
        <f t="shared" si="0"/>
        <v>200.6</v>
      </c>
      <c r="N7" s="171">
        <f t="shared" si="0"/>
        <v>200.6</v>
      </c>
      <c r="O7" s="171">
        <f t="shared" si="0"/>
        <v>200.6</v>
      </c>
      <c r="P7" s="172">
        <f t="shared" si="0"/>
        <v>200.6</v>
      </c>
    </row>
    <row r="8" spans="2:16" ht="15.75" x14ac:dyDescent="0.25">
      <c r="B8" s="173"/>
      <c r="C8" s="240"/>
      <c r="D8" s="173"/>
      <c r="E8" s="173"/>
      <c r="F8" s="175"/>
      <c r="G8" s="175"/>
      <c r="H8" s="175"/>
      <c r="I8" s="176"/>
      <c r="J8" s="404"/>
      <c r="K8" s="175"/>
      <c r="L8" s="175"/>
      <c r="M8" s="175"/>
      <c r="N8" s="175"/>
      <c r="O8" s="175"/>
      <c r="P8" s="176"/>
    </row>
    <row r="9" spans="2:16" ht="15.75" x14ac:dyDescent="0.25">
      <c r="B9" s="173" t="s">
        <v>101</v>
      </c>
      <c r="C9" s="240" t="s">
        <v>85</v>
      </c>
      <c r="D9" s="170" t="s">
        <v>199</v>
      </c>
      <c r="E9" s="174" t="s">
        <v>208</v>
      </c>
      <c r="F9" s="175">
        <f t="shared" ref="F9" si="1">+F54/1000</f>
        <v>0</v>
      </c>
      <c r="G9" s="175">
        <f t="shared" ref="G9:P9" si="2">+G54/1000</f>
        <v>41.197000000000003</v>
      </c>
      <c r="H9" s="175">
        <f t="shared" si="2"/>
        <v>83.968000000000004</v>
      </c>
      <c r="I9" s="176">
        <f t="shared" si="2"/>
        <v>80.537999999999997</v>
      </c>
      <c r="J9" s="404">
        <f t="shared" si="2"/>
        <v>88.108999999999995</v>
      </c>
      <c r="K9" s="175">
        <f t="shared" si="2"/>
        <v>85</v>
      </c>
      <c r="L9" s="175">
        <f t="shared" si="2"/>
        <v>85</v>
      </c>
      <c r="M9" s="175">
        <f t="shared" si="2"/>
        <v>85</v>
      </c>
      <c r="N9" s="175">
        <f t="shared" si="2"/>
        <v>85</v>
      </c>
      <c r="O9" s="175">
        <f t="shared" si="2"/>
        <v>85</v>
      </c>
      <c r="P9" s="176">
        <f t="shared" si="2"/>
        <v>85</v>
      </c>
    </row>
    <row r="10" spans="2:16" ht="15.75" x14ac:dyDescent="0.25">
      <c r="B10" s="173" t="s">
        <v>99</v>
      </c>
      <c r="C10" s="240" t="s">
        <v>85</v>
      </c>
      <c r="D10" s="467" t="s">
        <v>199</v>
      </c>
      <c r="E10" s="174" t="s">
        <v>208</v>
      </c>
      <c r="F10" s="175">
        <f t="shared" ref="F10" si="3">+F55/1000</f>
        <v>35.506</v>
      </c>
      <c r="G10" s="175">
        <f t="shared" ref="G10:P10" si="4">+G55/1000</f>
        <v>38.729999999999997</v>
      </c>
      <c r="H10" s="175">
        <f t="shared" si="4"/>
        <v>40.978000000000002</v>
      </c>
      <c r="I10" s="176">
        <f t="shared" si="4"/>
        <v>40.996000000000002</v>
      </c>
      <c r="J10" s="404">
        <f t="shared" si="4"/>
        <v>40.317</v>
      </c>
      <c r="K10" s="175">
        <f t="shared" si="4"/>
        <v>40</v>
      </c>
      <c r="L10" s="175">
        <f t="shared" si="4"/>
        <v>40</v>
      </c>
      <c r="M10" s="175">
        <f t="shared" si="4"/>
        <v>40</v>
      </c>
      <c r="N10" s="175">
        <f t="shared" si="4"/>
        <v>40</v>
      </c>
      <c r="O10" s="175">
        <f t="shared" si="4"/>
        <v>40</v>
      </c>
      <c r="P10" s="176">
        <f t="shared" si="4"/>
        <v>40</v>
      </c>
    </row>
    <row r="11" spans="2:16" ht="15.75" x14ac:dyDescent="0.25">
      <c r="B11" s="173" t="s">
        <v>100</v>
      </c>
      <c r="C11" s="240" t="s">
        <v>85</v>
      </c>
      <c r="D11" s="170" t="s">
        <v>199</v>
      </c>
      <c r="E11" s="174" t="s">
        <v>208</v>
      </c>
      <c r="F11" s="175">
        <f t="shared" ref="F11" si="5">+F56/1000</f>
        <v>45.454999999999998</v>
      </c>
      <c r="G11" s="175">
        <f t="shared" ref="G11:P11" si="6">+G56/1000</f>
        <v>43.06</v>
      </c>
      <c r="H11" s="175">
        <f t="shared" si="6"/>
        <v>42.484999999999999</v>
      </c>
      <c r="I11" s="176">
        <f t="shared" si="6"/>
        <v>42.61</v>
      </c>
      <c r="J11" s="404">
        <f t="shared" si="6"/>
        <v>47.320999999999998</v>
      </c>
      <c r="K11" s="175">
        <f t="shared" si="6"/>
        <v>45</v>
      </c>
      <c r="L11" s="175">
        <f t="shared" si="6"/>
        <v>45</v>
      </c>
      <c r="M11" s="175">
        <f t="shared" si="6"/>
        <v>45</v>
      </c>
      <c r="N11" s="175">
        <f t="shared" si="6"/>
        <v>45</v>
      </c>
      <c r="O11" s="175">
        <f t="shared" si="6"/>
        <v>45</v>
      </c>
      <c r="P11" s="176">
        <f t="shared" si="6"/>
        <v>45</v>
      </c>
    </row>
    <row r="12" spans="2:16" ht="15.75" x14ac:dyDescent="0.25">
      <c r="B12" s="173" t="s">
        <v>103</v>
      </c>
      <c r="C12" s="240" t="s">
        <v>85</v>
      </c>
      <c r="D12" s="174" t="s">
        <v>197</v>
      </c>
      <c r="E12" s="174" t="s">
        <v>208</v>
      </c>
      <c r="F12" s="175">
        <f t="shared" ref="F12" si="7">+F57/1000</f>
        <v>18.184999999999999</v>
      </c>
      <c r="G12" s="175">
        <f t="shared" ref="G12:P12" si="8">+G57/1000</f>
        <v>21.777000000000001</v>
      </c>
      <c r="H12" s="175">
        <f t="shared" si="8"/>
        <v>19.693999999999999</v>
      </c>
      <c r="I12" s="176">
        <f t="shared" si="8"/>
        <v>0</v>
      </c>
      <c r="J12" s="404">
        <f t="shared" si="8"/>
        <v>0</v>
      </c>
      <c r="K12" s="175">
        <f t="shared" si="8"/>
        <v>0</v>
      </c>
      <c r="L12" s="175">
        <f t="shared" si="8"/>
        <v>0</v>
      </c>
      <c r="M12" s="175">
        <f t="shared" si="8"/>
        <v>0</v>
      </c>
      <c r="N12" s="175">
        <f t="shared" si="8"/>
        <v>0</v>
      </c>
      <c r="O12" s="175">
        <f t="shared" si="8"/>
        <v>0</v>
      </c>
      <c r="P12" s="176">
        <f t="shared" si="8"/>
        <v>0</v>
      </c>
    </row>
    <row r="13" spans="2:16" ht="15.75" x14ac:dyDescent="0.25">
      <c r="B13" s="173" t="s">
        <v>97</v>
      </c>
      <c r="C13" s="240" t="s">
        <v>85</v>
      </c>
      <c r="D13" s="170" t="s">
        <v>199</v>
      </c>
      <c r="E13" s="174" t="s">
        <v>208</v>
      </c>
      <c r="F13" s="175">
        <f t="shared" ref="F13" si="9">+F58/1000</f>
        <v>19.829000000000001</v>
      </c>
      <c r="G13" s="175">
        <f t="shared" ref="G13:P13" si="10">+G58/1000</f>
        <v>15.827999999999999</v>
      </c>
      <c r="H13" s="175">
        <f t="shared" si="10"/>
        <v>13.112</v>
      </c>
      <c r="I13" s="176">
        <f t="shared" si="10"/>
        <v>13.738</v>
      </c>
      <c r="J13" s="404">
        <f t="shared" si="10"/>
        <v>13.792999999999999</v>
      </c>
      <c r="K13" s="175">
        <f t="shared" si="10"/>
        <v>14</v>
      </c>
      <c r="L13" s="175">
        <f t="shared" si="10"/>
        <v>14</v>
      </c>
      <c r="M13" s="175">
        <f t="shared" si="10"/>
        <v>14</v>
      </c>
      <c r="N13" s="175">
        <f t="shared" si="10"/>
        <v>14</v>
      </c>
      <c r="O13" s="175">
        <f t="shared" si="10"/>
        <v>14</v>
      </c>
      <c r="P13" s="176">
        <f t="shared" si="10"/>
        <v>14</v>
      </c>
    </row>
    <row r="14" spans="2:16" ht="15.75" x14ac:dyDescent="0.25">
      <c r="B14" s="173" t="s">
        <v>98</v>
      </c>
      <c r="C14" s="240" t="s">
        <v>85</v>
      </c>
      <c r="D14" s="170" t="s">
        <v>199</v>
      </c>
      <c r="E14" s="174" t="s">
        <v>208</v>
      </c>
      <c r="F14" s="175">
        <f t="shared" ref="F14" si="11">+F59/1000</f>
        <v>39.503999999999998</v>
      </c>
      <c r="G14" s="175">
        <f t="shared" ref="G14:P14" si="12">+G59/1000</f>
        <v>33.899000000000001</v>
      </c>
      <c r="H14" s="175">
        <f t="shared" si="12"/>
        <v>38.070999999999998</v>
      </c>
      <c r="I14" s="176">
        <f t="shared" si="12"/>
        <v>41.325000000000003</v>
      </c>
      <c r="J14" s="404">
        <f t="shared" si="12"/>
        <v>44.448999999999998</v>
      </c>
      <c r="K14" s="175">
        <f t="shared" si="12"/>
        <v>40</v>
      </c>
      <c r="L14" s="175">
        <f t="shared" si="12"/>
        <v>40</v>
      </c>
      <c r="M14" s="175">
        <f t="shared" si="12"/>
        <v>40</v>
      </c>
      <c r="N14" s="175">
        <f t="shared" si="12"/>
        <v>40</v>
      </c>
      <c r="O14" s="175">
        <f t="shared" si="12"/>
        <v>40</v>
      </c>
      <c r="P14" s="176">
        <f t="shared" si="12"/>
        <v>40</v>
      </c>
    </row>
    <row r="15" spans="2:16" ht="15.75" x14ac:dyDescent="0.25">
      <c r="B15" s="177" t="s">
        <v>102</v>
      </c>
      <c r="C15" s="654" t="s">
        <v>85</v>
      </c>
      <c r="D15" s="179" t="s">
        <v>272</v>
      </c>
      <c r="E15" s="179" t="s">
        <v>208</v>
      </c>
      <c r="F15" s="180">
        <f t="shared" ref="F15" si="13">+F60/1000</f>
        <v>0</v>
      </c>
      <c r="G15" s="180">
        <f t="shared" ref="G15:P15" si="14">+G60/1000</f>
        <v>0</v>
      </c>
      <c r="H15" s="180">
        <f t="shared" si="14"/>
        <v>0</v>
      </c>
      <c r="I15" s="181">
        <f t="shared" si="14"/>
        <v>0</v>
      </c>
      <c r="J15" s="449">
        <f t="shared" si="14"/>
        <v>0</v>
      </c>
      <c r="K15" s="180">
        <f t="shared" si="14"/>
        <v>0</v>
      </c>
      <c r="L15" s="180">
        <f t="shared" si="14"/>
        <v>20</v>
      </c>
      <c r="M15" s="180">
        <f t="shared" si="14"/>
        <v>40</v>
      </c>
      <c r="N15" s="180">
        <f t="shared" si="14"/>
        <v>40</v>
      </c>
      <c r="O15" s="180">
        <f t="shared" si="14"/>
        <v>40</v>
      </c>
      <c r="P15" s="181">
        <f t="shared" si="14"/>
        <v>40</v>
      </c>
    </row>
    <row r="16" spans="2:16" ht="15.75" x14ac:dyDescent="0.25">
      <c r="B16" s="182" t="s">
        <v>85</v>
      </c>
      <c r="C16" s="895"/>
      <c r="D16" s="182"/>
      <c r="E16" s="182"/>
      <c r="F16" s="183">
        <f>SUM(F9:F15)</f>
        <v>158.47899999999998</v>
      </c>
      <c r="G16" s="183">
        <f t="shared" ref="G16:P16" si="15">SUM(G9:G15)</f>
        <v>194.49100000000001</v>
      </c>
      <c r="H16" s="183">
        <f t="shared" si="15"/>
        <v>238.30799999999996</v>
      </c>
      <c r="I16" s="184">
        <f t="shared" si="15"/>
        <v>219.20699999999999</v>
      </c>
      <c r="J16" s="406">
        <f t="shared" si="15"/>
        <v>233.98899999999998</v>
      </c>
      <c r="K16" s="183">
        <f t="shared" si="15"/>
        <v>224</v>
      </c>
      <c r="L16" s="183">
        <f t="shared" si="15"/>
        <v>244</v>
      </c>
      <c r="M16" s="183">
        <f t="shared" si="15"/>
        <v>264</v>
      </c>
      <c r="N16" s="183">
        <f t="shared" si="15"/>
        <v>264</v>
      </c>
      <c r="O16" s="183">
        <f t="shared" si="15"/>
        <v>264</v>
      </c>
      <c r="P16" s="184">
        <f t="shared" si="15"/>
        <v>264</v>
      </c>
    </row>
    <row r="17" spans="2:16" ht="15.75" x14ac:dyDescent="0.25">
      <c r="B17" s="185"/>
      <c r="C17" s="651"/>
      <c r="D17" s="185"/>
      <c r="E17" s="185"/>
      <c r="F17" s="187"/>
      <c r="G17" s="187"/>
      <c r="H17" s="187"/>
      <c r="I17" s="188"/>
      <c r="J17" s="407"/>
      <c r="K17" s="187"/>
      <c r="L17" s="187"/>
      <c r="M17" s="187"/>
      <c r="N17" s="187"/>
      <c r="O17" s="187"/>
      <c r="P17" s="188"/>
    </row>
    <row r="18" spans="2:16" ht="15.75" x14ac:dyDescent="0.25">
      <c r="B18" s="173" t="s">
        <v>86</v>
      </c>
      <c r="C18" s="240" t="s">
        <v>86</v>
      </c>
      <c r="D18" s="170" t="s">
        <v>199</v>
      </c>
      <c r="E18" s="174" t="s">
        <v>208</v>
      </c>
      <c r="F18" s="175">
        <f t="shared" ref="F18" si="16">+F62/1000</f>
        <v>14.965999999999999</v>
      </c>
      <c r="G18" s="175">
        <f t="shared" ref="G18:P18" si="17">+G62/1000</f>
        <v>14.914</v>
      </c>
      <c r="H18" s="175">
        <f t="shared" si="17"/>
        <v>15.199</v>
      </c>
      <c r="I18" s="176">
        <f t="shared" si="17"/>
        <v>19.029</v>
      </c>
      <c r="J18" s="404">
        <f t="shared" si="17"/>
        <v>24</v>
      </c>
      <c r="K18" s="175">
        <f t="shared" si="17"/>
        <v>26</v>
      </c>
      <c r="L18" s="175">
        <f t="shared" si="17"/>
        <v>28</v>
      </c>
      <c r="M18" s="175">
        <f t="shared" si="17"/>
        <v>30</v>
      </c>
      <c r="N18" s="175">
        <f t="shared" si="17"/>
        <v>30</v>
      </c>
      <c r="O18" s="175">
        <f t="shared" si="17"/>
        <v>30</v>
      </c>
      <c r="P18" s="176">
        <f t="shared" si="17"/>
        <v>30</v>
      </c>
    </row>
    <row r="19" spans="2:16" ht="15.75" x14ac:dyDescent="0.25">
      <c r="B19" s="173" t="s">
        <v>104</v>
      </c>
      <c r="C19" s="240" t="s">
        <v>86</v>
      </c>
      <c r="D19" s="467" t="s">
        <v>199</v>
      </c>
      <c r="E19" s="174" t="s">
        <v>208</v>
      </c>
      <c r="F19" s="175">
        <f t="shared" ref="F19" si="18">+F63/1000</f>
        <v>8.1709999999999994</v>
      </c>
      <c r="G19" s="175">
        <f t="shared" ref="G19:P19" si="19">+G63/1000</f>
        <v>5.4589999999999996</v>
      </c>
      <c r="H19" s="175">
        <f t="shared" si="19"/>
        <v>6</v>
      </c>
      <c r="I19" s="176">
        <f t="shared" si="19"/>
        <v>5.97</v>
      </c>
      <c r="J19" s="404">
        <f t="shared" si="19"/>
        <v>7.5</v>
      </c>
      <c r="K19" s="175">
        <f t="shared" si="19"/>
        <v>7</v>
      </c>
      <c r="L19" s="175">
        <f t="shared" si="19"/>
        <v>7</v>
      </c>
      <c r="M19" s="175">
        <f t="shared" si="19"/>
        <v>7</v>
      </c>
      <c r="N19" s="175">
        <f t="shared" si="19"/>
        <v>7</v>
      </c>
      <c r="O19" s="175">
        <f t="shared" si="19"/>
        <v>7</v>
      </c>
      <c r="P19" s="176">
        <f t="shared" si="19"/>
        <v>7</v>
      </c>
    </row>
    <row r="20" spans="2:16" ht="15.75" x14ac:dyDescent="0.25">
      <c r="B20" s="173" t="s">
        <v>105</v>
      </c>
      <c r="C20" s="240" t="s">
        <v>86</v>
      </c>
      <c r="D20" s="467" t="s">
        <v>199</v>
      </c>
      <c r="E20" s="174" t="s">
        <v>208</v>
      </c>
      <c r="F20" s="175">
        <f t="shared" ref="F20" si="20">+F64/1000</f>
        <v>1.7909999999999999</v>
      </c>
      <c r="G20" s="175">
        <f t="shared" ref="G20:P20" si="21">+G64/1000</f>
        <v>4.5090000000000003</v>
      </c>
      <c r="H20" s="175">
        <f t="shared" si="21"/>
        <v>10.500999999999999</v>
      </c>
      <c r="I20" s="176">
        <f t="shared" si="21"/>
        <v>21.023</v>
      </c>
      <c r="J20" s="404">
        <f t="shared" si="21"/>
        <v>21.5</v>
      </c>
      <c r="K20" s="175">
        <f t="shared" si="21"/>
        <v>25</v>
      </c>
      <c r="L20" s="175">
        <f t="shared" si="21"/>
        <v>30</v>
      </c>
      <c r="M20" s="175">
        <f t="shared" si="21"/>
        <v>30</v>
      </c>
      <c r="N20" s="175">
        <f t="shared" si="21"/>
        <v>30</v>
      </c>
      <c r="O20" s="175">
        <f t="shared" si="21"/>
        <v>30</v>
      </c>
      <c r="P20" s="176">
        <f t="shared" si="21"/>
        <v>30</v>
      </c>
    </row>
    <row r="21" spans="2:16" ht="15.75" x14ac:dyDescent="0.25">
      <c r="B21" s="177" t="s">
        <v>106</v>
      </c>
      <c r="C21" s="654" t="s">
        <v>86</v>
      </c>
      <c r="D21" s="179" t="s">
        <v>218</v>
      </c>
      <c r="E21" s="179" t="s">
        <v>208</v>
      </c>
      <c r="F21" s="180">
        <f t="shared" ref="F21" si="22">+F65/1000</f>
        <v>0</v>
      </c>
      <c r="G21" s="180">
        <f t="shared" ref="G21:P21" si="23">+G65/1000</f>
        <v>0</v>
      </c>
      <c r="H21" s="180">
        <f t="shared" si="23"/>
        <v>0</v>
      </c>
      <c r="I21" s="181">
        <f t="shared" si="23"/>
        <v>0</v>
      </c>
      <c r="J21" s="449">
        <f t="shared" si="23"/>
        <v>0</v>
      </c>
      <c r="K21" s="180">
        <f t="shared" si="23"/>
        <v>10</v>
      </c>
      <c r="L21" s="180">
        <f t="shared" si="23"/>
        <v>20</v>
      </c>
      <c r="M21" s="180">
        <f t="shared" si="23"/>
        <v>20</v>
      </c>
      <c r="N21" s="180">
        <f t="shared" si="23"/>
        <v>20</v>
      </c>
      <c r="O21" s="180">
        <f t="shared" si="23"/>
        <v>20</v>
      </c>
      <c r="P21" s="181">
        <f t="shared" si="23"/>
        <v>20</v>
      </c>
    </row>
    <row r="22" spans="2:16" ht="15.75" x14ac:dyDescent="0.25">
      <c r="B22" s="182" t="s">
        <v>86</v>
      </c>
      <c r="C22" s="895"/>
      <c r="D22" s="182"/>
      <c r="E22" s="182"/>
      <c r="F22" s="183">
        <f>SUM(F18:F21)</f>
        <v>24.928000000000001</v>
      </c>
      <c r="G22" s="183">
        <f t="shared" ref="G22:P22" si="24">SUM(G18:G21)</f>
        <v>24.881999999999998</v>
      </c>
      <c r="H22" s="183">
        <f t="shared" si="24"/>
        <v>31.699999999999996</v>
      </c>
      <c r="I22" s="184">
        <f t="shared" si="24"/>
        <v>46.021999999999998</v>
      </c>
      <c r="J22" s="406">
        <f t="shared" si="24"/>
        <v>53</v>
      </c>
      <c r="K22" s="183">
        <f t="shared" si="24"/>
        <v>68</v>
      </c>
      <c r="L22" s="183">
        <f t="shared" si="24"/>
        <v>85</v>
      </c>
      <c r="M22" s="183">
        <f t="shared" si="24"/>
        <v>87</v>
      </c>
      <c r="N22" s="183">
        <f t="shared" si="24"/>
        <v>87</v>
      </c>
      <c r="O22" s="183">
        <f t="shared" si="24"/>
        <v>87</v>
      </c>
      <c r="P22" s="184">
        <f t="shared" si="24"/>
        <v>87</v>
      </c>
    </row>
    <row r="23" spans="2:16" ht="15.75" x14ac:dyDescent="0.25">
      <c r="B23" s="185"/>
      <c r="C23" s="651"/>
      <c r="D23" s="185"/>
      <c r="E23" s="185"/>
      <c r="F23" s="187"/>
      <c r="G23" s="187"/>
      <c r="H23" s="187"/>
      <c r="I23" s="188"/>
      <c r="J23" s="407"/>
      <c r="K23" s="187"/>
      <c r="L23" s="187"/>
      <c r="M23" s="187"/>
      <c r="N23" s="187"/>
      <c r="O23" s="187"/>
      <c r="P23" s="188"/>
    </row>
    <row r="24" spans="2:16" ht="15.75" x14ac:dyDescent="0.25">
      <c r="B24" s="173" t="s">
        <v>107</v>
      </c>
      <c r="C24" s="240" t="s">
        <v>114</v>
      </c>
      <c r="D24" s="467" t="s">
        <v>199</v>
      </c>
      <c r="E24" s="174" t="s">
        <v>208</v>
      </c>
      <c r="F24" s="175">
        <f t="shared" ref="F24" si="25">+F67/1000</f>
        <v>49.935000000000002</v>
      </c>
      <c r="G24" s="175">
        <f t="shared" ref="G24:P24" si="26">+G67/1000</f>
        <v>45.618000000000002</v>
      </c>
      <c r="H24" s="175">
        <f t="shared" si="26"/>
        <v>24.155999999999999</v>
      </c>
      <c r="I24" s="176">
        <f t="shared" si="26"/>
        <v>28.728000000000002</v>
      </c>
      <c r="J24" s="404">
        <f t="shared" si="26"/>
        <v>33.9</v>
      </c>
      <c r="K24" s="175">
        <f t="shared" si="26"/>
        <v>46.56</v>
      </c>
      <c r="L24" s="175">
        <f t="shared" si="26"/>
        <v>46.56</v>
      </c>
      <c r="M24" s="175">
        <f t="shared" si="26"/>
        <v>46.56</v>
      </c>
      <c r="N24" s="175">
        <f t="shared" si="26"/>
        <v>46.56</v>
      </c>
      <c r="O24" s="175">
        <f t="shared" si="26"/>
        <v>46.56</v>
      </c>
      <c r="P24" s="176">
        <f t="shared" si="26"/>
        <v>46.56</v>
      </c>
    </row>
    <row r="25" spans="2:16" ht="15.75" x14ac:dyDescent="0.25">
      <c r="B25" s="173" t="s">
        <v>108</v>
      </c>
      <c r="C25" s="240" t="s">
        <v>114</v>
      </c>
      <c r="D25" s="467" t="s">
        <v>199</v>
      </c>
      <c r="E25" s="174" t="s">
        <v>208</v>
      </c>
      <c r="F25" s="175">
        <f t="shared" ref="F25" si="27">+F68/1000</f>
        <v>32.838999999999999</v>
      </c>
      <c r="G25" s="175">
        <f t="shared" ref="G25:P25" si="28">+G68/1000</f>
        <v>34.405999999999999</v>
      </c>
      <c r="H25" s="175">
        <f t="shared" si="28"/>
        <v>36.886000000000003</v>
      </c>
      <c r="I25" s="176">
        <f t="shared" si="28"/>
        <v>34.555</v>
      </c>
      <c r="J25" s="404">
        <f t="shared" si="28"/>
        <v>33</v>
      </c>
      <c r="K25" s="175">
        <f t="shared" si="28"/>
        <v>32.25</v>
      </c>
      <c r="L25" s="175">
        <f t="shared" si="28"/>
        <v>32.25</v>
      </c>
      <c r="M25" s="175">
        <f t="shared" si="28"/>
        <v>32.25</v>
      </c>
      <c r="N25" s="175">
        <f t="shared" si="28"/>
        <v>32.25</v>
      </c>
      <c r="O25" s="175">
        <f t="shared" si="28"/>
        <v>32.25</v>
      </c>
      <c r="P25" s="176">
        <f t="shared" si="28"/>
        <v>32.25</v>
      </c>
    </row>
    <row r="26" spans="2:16" ht="15.75" x14ac:dyDescent="0.25">
      <c r="B26" s="173" t="s">
        <v>109</v>
      </c>
      <c r="C26" s="240" t="s">
        <v>114</v>
      </c>
      <c r="D26" s="467" t="s">
        <v>199</v>
      </c>
      <c r="E26" s="174" t="s">
        <v>208</v>
      </c>
      <c r="F26" s="175">
        <f t="shared" ref="F26" si="29">+F69/1000</f>
        <v>6.851</v>
      </c>
      <c r="G26" s="175">
        <f t="shared" ref="G26:P26" si="30">+G69/1000</f>
        <v>19.283999999999999</v>
      </c>
      <c r="H26" s="175">
        <f t="shared" si="30"/>
        <v>9.2469999999999999</v>
      </c>
      <c r="I26" s="176">
        <f t="shared" si="30"/>
        <v>2.4529999999999998</v>
      </c>
      <c r="J26" s="404">
        <f t="shared" si="30"/>
        <v>20</v>
      </c>
      <c r="K26" s="175">
        <f t="shared" si="30"/>
        <v>22.1</v>
      </c>
      <c r="L26" s="175">
        <f t="shared" si="30"/>
        <v>22.1</v>
      </c>
      <c r="M26" s="175">
        <f t="shared" si="30"/>
        <v>22.1</v>
      </c>
      <c r="N26" s="175">
        <f t="shared" si="30"/>
        <v>22.1</v>
      </c>
      <c r="O26" s="175">
        <f t="shared" si="30"/>
        <v>22.1</v>
      </c>
      <c r="P26" s="176">
        <f t="shared" si="30"/>
        <v>22.1</v>
      </c>
    </row>
    <row r="27" spans="2:16" ht="15.75" x14ac:dyDescent="0.25">
      <c r="B27" s="189" t="s">
        <v>110</v>
      </c>
      <c r="C27" s="240" t="s">
        <v>114</v>
      </c>
      <c r="D27" s="179" t="s">
        <v>272</v>
      </c>
      <c r="E27" s="179" t="s">
        <v>208</v>
      </c>
      <c r="F27" s="180">
        <f t="shared" ref="F27" si="31">+F70/1000</f>
        <v>0</v>
      </c>
      <c r="G27" s="180">
        <f t="shared" ref="G27:P27" si="32">+G70/1000</f>
        <v>0</v>
      </c>
      <c r="H27" s="180">
        <f t="shared" si="32"/>
        <v>0</v>
      </c>
      <c r="I27" s="181">
        <f t="shared" si="32"/>
        <v>0</v>
      </c>
      <c r="J27" s="449">
        <f t="shared" si="32"/>
        <v>0</v>
      </c>
      <c r="K27" s="180">
        <f t="shared" si="32"/>
        <v>0</v>
      </c>
      <c r="L27" s="180">
        <f t="shared" si="32"/>
        <v>0</v>
      </c>
      <c r="M27" s="180">
        <f t="shared" si="32"/>
        <v>0</v>
      </c>
      <c r="N27" s="180">
        <f t="shared" si="32"/>
        <v>0</v>
      </c>
      <c r="O27" s="180">
        <f t="shared" si="32"/>
        <v>3</v>
      </c>
      <c r="P27" s="181">
        <f t="shared" si="32"/>
        <v>7</v>
      </c>
    </row>
    <row r="28" spans="2:16" ht="15.75" x14ac:dyDescent="0.25">
      <c r="B28" s="182" t="s">
        <v>114</v>
      </c>
      <c r="C28" s="895"/>
      <c r="D28" s="190"/>
      <c r="E28" s="190"/>
      <c r="F28" s="183">
        <f>SUM(F24:F27)</f>
        <v>89.625</v>
      </c>
      <c r="G28" s="183">
        <f t="shared" ref="G28:P28" si="33">SUM(G24:G27)</f>
        <v>99.307999999999993</v>
      </c>
      <c r="H28" s="183">
        <f t="shared" si="33"/>
        <v>70.289000000000001</v>
      </c>
      <c r="I28" s="184">
        <f t="shared" si="33"/>
        <v>65.736000000000004</v>
      </c>
      <c r="J28" s="406">
        <f t="shared" si="33"/>
        <v>86.9</v>
      </c>
      <c r="K28" s="183">
        <f t="shared" si="33"/>
        <v>100.91</v>
      </c>
      <c r="L28" s="183">
        <f t="shared" si="33"/>
        <v>100.91</v>
      </c>
      <c r="M28" s="183">
        <f t="shared" si="33"/>
        <v>100.91</v>
      </c>
      <c r="N28" s="183">
        <f t="shared" si="33"/>
        <v>100.91</v>
      </c>
      <c r="O28" s="183">
        <f t="shared" si="33"/>
        <v>103.91</v>
      </c>
      <c r="P28" s="184">
        <f t="shared" si="33"/>
        <v>107.91</v>
      </c>
    </row>
    <row r="29" spans="2:16" ht="15.75" x14ac:dyDescent="0.25">
      <c r="B29" s="185"/>
      <c r="C29" s="651"/>
      <c r="D29" s="185"/>
      <c r="E29" s="185"/>
      <c r="F29" s="187"/>
      <c r="G29" s="187"/>
      <c r="H29" s="187"/>
      <c r="I29" s="188"/>
      <c r="J29" s="407"/>
      <c r="K29" s="187"/>
      <c r="L29" s="187"/>
      <c r="M29" s="187"/>
      <c r="N29" s="187"/>
      <c r="O29" s="187"/>
      <c r="P29" s="188"/>
    </row>
    <row r="30" spans="2:16" ht="15.75" x14ac:dyDescent="0.25">
      <c r="B30" s="173" t="s">
        <v>111</v>
      </c>
      <c r="C30" s="240" t="s">
        <v>88</v>
      </c>
      <c r="D30" s="174" t="s">
        <v>199</v>
      </c>
      <c r="E30" s="174" t="s">
        <v>208</v>
      </c>
      <c r="F30" s="175">
        <f t="shared" ref="F30" si="34">+F72/1000</f>
        <v>29.050999999999998</v>
      </c>
      <c r="G30" s="175">
        <f t="shared" ref="G30:P30" si="35">+G72/1000</f>
        <v>31.361999999999998</v>
      </c>
      <c r="H30" s="175">
        <f t="shared" si="35"/>
        <v>25.707000000000001</v>
      </c>
      <c r="I30" s="176">
        <f t="shared" si="35"/>
        <v>30.529</v>
      </c>
      <c r="J30" s="404">
        <f t="shared" si="35"/>
        <v>28</v>
      </c>
      <c r="K30" s="175">
        <f t="shared" si="35"/>
        <v>30</v>
      </c>
      <c r="L30" s="175">
        <f t="shared" si="35"/>
        <v>30</v>
      </c>
      <c r="M30" s="175">
        <f t="shared" si="35"/>
        <v>30</v>
      </c>
      <c r="N30" s="175">
        <f t="shared" si="35"/>
        <v>30</v>
      </c>
      <c r="O30" s="175">
        <f t="shared" si="35"/>
        <v>30</v>
      </c>
      <c r="P30" s="176">
        <f t="shared" si="35"/>
        <v>30</v>
      </c>
    </row>
    <row r="31" spans="2:16" ht="15.75" x14ac:dyDescent="0.25">
      <c r="B31" s="173" t="s">
        <v>112</v>
      </c>
      <c r="C31" s="240" t="s">
        <v>88</v>
      </c>
      <c r="D31" s="174" t="s">
        <v>199</v>
      </c>
      <c r="E31" s="174" t="s">
        <v>208</v>
      </c>
      <c r="F31" s="175">
        <f t="shared" ref="F31" si="36">+F73/1000</f>
        <v>22.896999999999998</v>
      </c>
      <c r="G31" s="175">
        <f t="shared" ref="G31:P31" si="37">+G73/1000</f>
        <v>19.21</v>
      </c>
      <c r="H31" s="175">
        <f t="shared" si="37"/>
        <v>16.678000000000001</v>
      </c>
      <c r="I31" s="176">
        <f t="shared" si="37"/>
        <v>19.158000000000001</v>
      </c>
      <c r="J31" s="404">
        <f t="shared" si="37"/>
        <v>24</v>
      </c>
      <c r="K31" s="175">
        <f t="shared" si="37"/>
        <v>23</v>
      </c>
      <c r="L31" s="175">
        <f t="shared" si="37"/>
        <v>23</v>
      </c>
      <c r="M31" s="175">
        <f t="shared" si="37"/>
        <v>23</v>
      </c>
      <c r="N31" s="175">
        <f t="shared" si="37"/>
        <v>23</v>
      </c>
      <c r="O31" s="175">
        <f t="shared" si="37"/>
        <v>23</v>
      </c>
      <c r="P31" s="176">
        <f t="shared" si="37"/>
        <v>23</v>
      </c>
    </row>
    <row r="32" spans="2:16" ht="15.75" x14ac:dyDescent="0.25">
      <c r="B32" s="177" t="s">
        <v>113</v>
      </c>
      <c r="C32" s="654" t="s">
        <v>88</v>
      </c>
      <c r="D32" s="178" t="s">
        <v>199</v>
      </c>
      <c r="E32" s="178" t="s">
        <v>208</v>
      </c>
      <c r="F32" s="180">
        <f t="shared" ref="F32" si="38">+F74/1000</f>
        <v>18.302</v>
      </c>
      <c r="G32" s="180">
        <f t="shared" ref="G32:P32" si="39">+G74/1000</f>
        <v>13.103999999999999</v>
      </c>
      <c r="H32" s="180">
        <f t="shared" si="39"/>
        <v>16.527999999999999</v>
      </c>
      <c r="I32" s="181">
        <f t="shared" si="39"/>
        <v>23.823</v>
      </c>
      <c r="J32" s="449">
        <f t="shared" si="39"/>
        <v>20</v>
      </c>
      <c r="K32" s="180">
        <f t="shared" si="39"/>
        <v>19</v>
      </c>
      <c r="L32" s="180">
        <f t="shared" si="39"/>
        <v>19</v>
      </c>
      <c r="M32" s="180">
        <f t="shared" si="39"/>
        <v>19</v>
      </c>
      <c r="N32" s="180">
        <f t="shared" si="39"/>
        <v>19</v>
      </c>
      <c r="O32" s="180">
        <f t="shared" si="39"/>
        <v>19</v>
      </c>
      <c r="P32" s="181">
        <f t="shared" si="39"/>
        <v>19</v>
      </c>
    </row>
    <row r="33" spans="2:16" ht="15.75" x14ac:dyDescent="0.25">
      <c r="B33" s="182" t="s">
        <v>88</v>
      </c>
      <c r="C33" s="772"/>
      <c r="D33" s="190"/>
      <c r="E33" s="190"/>
      <c r="F33" s="183">
        <f>SUM(F30:F32)</f>
        <v>70.25</v>
      </c>
      <c r="G33" s="183">
        <f t="shared" ref="G33:P33" si="40">SUM(G30:G32)</f>
        <v>63.676000000000002</v>
      </c>
      <c r="H33" s="183">
        <f t="shared" si="40"/>
        <v>58.913000000000004</v>
      </c>
      <c r="I33" s="184">
        <f t="shared" si="40"/>
        <v>73.509999999999991</v>
      </c>
      <c r="J33" s="406">
        <f t="shared" si="40"/>
        <v>72</v>
      </c>
      <c r="K33" s="183">
        <f t="shared" si="40"/>
        <v>72</v>
      </c>
      <c r="L33" s="183">
        <f t="shared" si="40"/>
        <v>72</v>
      </c>
      <c r="M33" s="183">
        <f t="shared" si="40"/>
        <v>72</v>
      </c>
      <c r="N33" s="183">
        <f t="shared" si="40"/>
        <v>72</v>
      </c>
      <c r="O33" s="183">
        <f t="shared" si="40"/>
        <v>72</v>
      </c>
      <c r="P33" s="184">
        <f t="shared" si="40"/>
        <v>72</v>
      </c>
    </row>
    <row r="34" spans="2:16" ht="15.75" x14ac:dyDescent="0.25">
      <c r="B34" s="185"/>
      <c r="C34" s="651"/>
      <c r="D34" s="185"/>
      <c r="E34" s="185"/>
      <c r="F34" s="187"/>
      <c r="G34" s="187"/>
      <c r="H34" s="187"/>
      <c r="I34" s="188"/>
      <c r="J34" s="407"/>
      <c r="K34" s="187"/>
      <c r="L34" s="187"/>
      <c r="M34" s="187"/>
      <c r="N34" s="187"/>
      <c r="O34" s="187"/>
      <c r="P34" s="188"/>
    </row>
    <row r="35" spans="2:16" ht="18" x14ac:dyDescent="0.25">
      <c r="B35" s="173" t="s">
        <v>374</v>
      </c>
      <c r="C35" s="240" t="s">
        <v>115</v>
      </c>
      <c r="D35" s="174" t="s">
        <v>199</v>
      </c>
      <c r="E35" s="174" t="s">
        <v>208</v>
      </c>
      <c r="F35" s="175">
        <f t="shared" ref="F35" si="41">+F76/1000</f>
        <v>2.246</v>
      </c>
      <c r="G35" s="175">
        <f t="shared" ref="G35:P35" si="42">+G76/1000</f>
        <v>3.0539999999999998</v>
      </c>
      <c r="H35" s="175">
        <f t="shared" si="42"/>
        <v>5.7240000000000002</v>
      </c>
      <c r="I35" s="176">
        <f t="shared" si="42"/>
        <v>7.9489999999999998</v>
      </c>
      <c r="J35" s="404">
        <f t="shared" si="42"/>
        <v>5.7</v>
      </c>
      <c r="K35" s="175">
        <f t="shared" si="42"/>
        <v>5</v>
      </c>
      <c r="L35" s="175">
        <f t="shared" si="42"/>
        <v>5</v>
      </c>
      <c r="M35" s="175">
        <f t="shared" si="42"/>
        <v>5</v>
      </c>
      <c r="N35" s="175">
        <f t="shared" si="42"/>
        <v>5</v>
      </c>
      <c r="O35" s="175">
        <f t="shared" si="42"/>
        <v>5</v>
      </c>
      <c r="P35" s="176">
        <f t="shared" si="42"/>
        <v>5</v>
      </c>
    </row>
    <row r="36" spans="2:16" ht="15.75" x14ac:dyDescent="0.25">
      <c r="B36" s="173" t="s">
        <v>375</v>
      </c>
      <c r="C36" s="240" t="s">
        <v>89</v>
      </c>
      <c r="D36" s="174" t="s">
        <v>199</v>
      </c>
      <c r="E36" s="174" t="s">
        <v>208</v>
      </c>
      <c r="F36" s="175">
        <f t="shared" ref="F36" si="43">+F77/1000</f>
        <v>1.478</v>
      </c>
      <c r="G36" s="175">
        <f t="shared" ref="G36:P36" si="44">+G77/1000</f>
        <v>1.673</v>
      </c>
      <c r="H36" s="175">
        <f t="shared" si="44"/>
        <v>1.675</v>
      </c>
      <c r="I36" s="176">
        <f t="shared" si="44"/>
        <v>1.85</v>
      </c>
      <c r="J36" s="404">
        <f t="shared" si="44"/>
        <v>1.6</v>
      </c>
      <c r="K36" s="175">
        <f t="shared" si="44"/>
        <v>1.8</v>
      </c>
      <c r="L36" s="175">
        <f t="shared" si="44"/>
        <v>1.8</v>
      </c>
      <c r="M36" s="175">
        <f t="shared" si="44"/>
        <v>1.8</v>
      </c>
      <c r="N36" s="175">
        <f t="shared" si="44"/>
        <v>1.8</v>
      </c>
      <c r="O36" s="175">
        <f t="shared" si="44"/>
        <v>1.8</v>
      </c>
      <c r="P36" s="176">
        <f t="shared" si="44"/>
        <v>1.8</v>
      </c>
    </row>
    <row r="37" spans="2:16" ht="15.75" x14ac:dyDescent="0.25">
      <c r="B37" s="173" t="s">
        <v>194</v>
      </c>
      <c r="C37" s="240" t="s">
        <v>90</v>
      </c>
      <c r="D37" s="174" t="s">
        <v>320</v>
      </c>
      <c r="E37" s="174" t="s">
        <v>208</v>
      </c>
      <c r="F37" s="175">
        <f t="shared" ref="F37" si="45">+F78/1000</f>
        <v>5.6</v>
      </c>
      <c r="G37" s="175">
        <f t="shared" ref="G37:P37" si="46">+G78/1000</f>
        <v>7.7</v>
      </c>
      <c r="H37" s="175">
        <f t="shared" si="46"/>
        <v>8.91</v>
      </c>
      <c r="I37" s="176">
        <f t="shared" si="46"/>
        <v>9.6999999999999993</v>
      </c>
      <c r="J37" s="404">
        <f t="shared" si="46"/>
        <v>9.5</v>
      </c>
      <c r="K37" s="175">
        <f t="shared" si="46"/>
        <v>16</v>
      </c>
      <c r="L37" s="175">
        <f t="shared" si="46"/>
        <v>16</v>
      </c>
      <c r="M37" s="175">
        <f t="shared" si="46"/>
        <v>16</v>
      </c>
      <c r="N37" s="175">
        <f t="shared" si="46"/>
        <v>16</v>
      </c>
      <c r="O37" s="175">
        <f t="shared" si="46"/>
        <v>16</v>
      </c>
      <c r="P37" s="176">
        <f t="shared" si="46"/>
        <v>16</v>
      </c>
    </row>
    <row r="38" spans="2:16" ht="15.75" x14ac:dyDescent="0.25">
      <c r="B38" s="173" t="s">
        <v>376</v>
      </c>
      <c r="C38" s="240" t="s">
        <v>91</v>
      </c>
      <c r="D38" s="174" t="s">
        <v>199</v>
      </c>
      <c r="E38" s="174" t="s">
        <v>208</v>
      </c>
      <c r="F38" s="175">
        <f t="shared" ref="F38" si="47">+F79/1000</f>
        <v>5.6</v>
      </c>
      <c r="G38" s="175">
        <f t="shared" ref="G38:P38" si="48">+G79/1000</f>
        <v>6.76</v>
      </c>
      <c r="H38" s="175">
        <f t="shared" si="48"/>
        <v>13.195</v>
      </c>
      <c r="I38" s="176">
        <f t="shared" si="48"/>
        <v>13.9</v>
      </c>
      <c r="J38" s="404">
        <f t="shared" si="48"/>
        <v>12.9</v>
      </c>
      <c r="K38" s="175">
        <f t="shared" si="48"/>
        <v>13</v>
      </c>
      <c r="L38" s="175">
        <f t="shared" si="48"/>
        <v>13</v>
      </c>
      <c r="M38" s="175">
        <f t="shared" si="48"/>
        <v>13</v>
      </c>
      <c r="N38" s="175">
        <f t="shared" si="48"/>
        <v>13</v>
      </c>
      <c r="O38" s="175">
        <f t="shared" si="48"/>
        <v>13</v>
      </c>
      <c r="P38" s="176">
        <f t="shared" si="48"/>
        <v>13</v>
      </c>
    </row>
    <row r="39" spans="2:16" ht="15.75" x14ac:dyDescent="0.25">
      <c r="B39" s="173" t="s">
        <v>379</v>
      </c>
      <c r="C39" s="240" t="s">
        <v>92</v>
      </c>
      <c r="D39" s="174" t="s">
        <v>320</v>
      </c>
      <c r="E39" s="174" t="s">
        <v>208</v>
      </c>
      <c r="F39" s="175">
        <f t="shared" ref="F39" si="49">+F80/1000</f>
        <v>7.47</v>
      </c>
      <c r="G39" s="175">
        <f t="shared" ref="G39:P39" si="50">+G80/1000</f>
        <v>6.6</v>
      </c>
      <c r="H39" s="175">
        <f t="shared" si="50"/>
        <v>5.73</v>
      </c>
      <c r="I39" s="176">
        <f t="shared" si="50"/>
        <v>5.2830000000000004</v>
      </c>
      <c r="J39" s="404">
        <f t="shared" si="50"/>
        <v>4.75</v>
      </c>
      <c r="K39" s="175">
        <f t="shared" si="50"/>
        <v>5</v>
      </c>
      <c r="L39" s="175">
        <f t="shared" si="50"/>
        <v>10</v>
      </c>
      <c r="M39" s="175">
        <f t="shared" si="50"/>
        <v>16</v>
      </c>
      <c r="N39" s="175">
        <f t="shared" si="50"/>
        <v>18</v>
      </c>
      <c r="O39" s="175">
        <f t="shared" si="50"/>
        <v>18</v>
      </c>
      <c r="P39" s="176">
        <f t="shared" si="50"/>
        <v>18</v>
      </c>
    </row>
    <row r="40" spans="2:16" ht="15.75" x14ac:dyDescent="0.25">
      <c r="B40" s="173" t="s">
        <v>382</v>
      </c>
      <c r="C40" s="240" t="s">
        <v>93</v>
      </c>
      <c r="D40" s="174" t="s">
        <v>199</v>
      </c>
      <c r="E40" s="174" t="s">
        <v>208</v>
      </c>
      <c r="F40" s="175">
        <f t="shared" ref="F40" si="51">+F81/1000</f>
        <v>7.8109999999999999</v>
      </c>
      <c r="G40" s="175">
        <f t="shared" ref="G40:P40" si="52">+G81/1000</f>
        <v>8.0850000000000009</v>
      </c>
      <c r="H40" s="175">
        <f t="shared" si="52"/>
        <v>6.5090000000000003</v>
      </c>
      <c r="I40" s="176">
        <f t="shared" si="52"/>
        <v>5.86</v>
      </c>
      <c r="J40" s="404">
        <f t="shared" si="52"/>
        <v>4.2</v>
      </c>
      <c r="K40" s="175">
        <f t="shared" si="52"/>
        <v>5</v>
      </c>
      <c r="L40" s="175">
        <f t="shared" si="52"/>
        <v>6</v>
      </c>
      <c r="M40" s="175">
        <f t="shared" si="52"/>
        <v>6</v>
      </c>
      <c r="N40" s="175">
        <f t="shared" si="52"/>
        <v>9</v>
      </c>
      <c r="O40" s="175">
        <f t="shared" si="52"/>
        <v>9</v>
      </c>
      <c r="P40" s="176">
        <f t="shared" si="52"/>
        <v>9</v>
      </c>
    </row>
    <row r="41" spans="2:16" ht="15.75" x14ac:dyDescent="0.25">
      <c r="B41" s="173" t="s">
        <v>385</v>
      </c>
      <c r="C41" s="240" t="s">
        <v>94</v>
      </c>
      <c r="D41" s="174" t="s">
        <v>198</v>
      </c>
      <c r="E41" s="174" t="s">
        <v>208</v>
      </c>
      <c r="F41" s="175">
        <f t="shared" ref="F41" si="53">+F82/1000</f>
        <v>4.75</v>
      </c>
      <c r="G41" s="175">
        <f t="shared" ref="G41:P41" si="54">+G82/1000</f>
        <v>4.5</v>
      </c>
      <c r="H41" s="175">
        <f t="shared" si="54"/>
        <v>4.55</v>
      </c>
      <c r="I41" s="176">
        <f t="shared" si="54"/>
        <v>3.35</v>
      </c>
      <c r="J41" s="404">
        <f t="shared" si="54"/>
        <v>2.6</v>
      </c>
      <c r="K41" s="175">
        <f t="shared" si="54"/>
        <v>3</v>
      </c>
      <c r="L41" s="175">
        <f t="shared" si="54"/>
        <v>0</v>
      </c>
      <c r="M41" s="175">
        <f t="shared" si="54"/>
        <v>0</v>
      </c>
      <c r="N41" s="175">
        <f t="shared" si="54"/>
        <v>0</v>
      </c>
      <c r="O41" s="175">
        <f t="shared" si="54"/>
        <v>0</v>
      </c>
      <c r="P41" s="176">
        <f t="shared" si="54"/>
        <v>0</v>
      </c>
    </row>
    <row r="42" spans="2:16" ht="16.5" thickBot="1" x14ac:dyDescent="0.3">
      <c r="B42" s="200" t="s">
        <v>48</v>
      </c>
      <c r="C42" s="896"/>
      <c r="D42" s="191"/>
      <c r="E42" s="191"/>
      <c r="F42" s="192">
        <f t="shared" ref="F42" si="55">+F83/1000</f>
        <v>107.97199999999999</v>
      </c>
      <c r="G42" s="192">
        <f t="shared" ref="G42:P42" si="56">+G83/1000</f>
        <v>71.686999999999998</v>
      </c>
      <c r="H42" s="192">
        <f t="shared" si="56"/>
        <v>35.375</v>
      </c>
      <c r="I42" s="193">
        <f t="shared" si="56"/>
        <v>27.98</v>
      </c>
      <c r="J42" s="450">
        <f t="shared" si="56"/>
        <v>30</v>
      </c>
      <c r="K42" s="192">
        <f t="shared" si="56"/>
        <v>30</v>
      </c>
      <c r="L42" s="192">
        <f t="shared" si="56"/>
        <v>30</v>
      </c>
      <c r="M42" s="192">
        <f t="shared" si="56"/>
        <v>30</v>
      </c>
      <c r="N42" s="192">
        <f t="shared" si="56"/>
        <v>30</v>
      </c>
      <c r="O42" s="192">
        <f t="shared" si="56"/>
        <v>30</v>
      </c>
      <c r="P42" s="193">
        <f t="shared" si="56"/>
        <v>30</v>
      </c>
    </row>
    <row r="43" spans="2:16" ht="15.75" x14ac:dyDescent="0.25">
      <c r="B43" s="194" t="s">
        <v>15</v>
      </c>
      <c r="C43" s="195"/>
      <c r="D43" s="196"/>
      <c r="E43" s="337"/>
      <c r="F43" s="197">
        <f>+SUM(F35:F42)+F33+F28+F22+F16+F7</f>
        <v>660.20900000000006</v>
      </c>
      <c r="G43" s="198">
        <f t="shared" ref="G43:P43" si="57">+SUM(G35:G42)+G33+G28+G22+G16+G7</f>
        <v>642.41600000000005</v>
      </c>
      <c r="H43" s="198">
        <f t="shared" si="57"/>
        <v>659.87799999999993</v>
      </c>
      <c r="I43" s="199">
        <f t="shared" si="57"/>
        <v>689.34699999999998</v>
      </c>
      <c r="J43" s="409">
        <f t="shared" si="57"/>
        <v>651.1389999999999</v>
      </c>
      <c r="K43" s="198">
        <f t="shared" si="57"/>
        <v>744.31000000000006</v>
      </c>
      <c r="L43" s="198">
        <f t="shared" si="57"/>
        <v>784.31000000000006</v>
      </c>
      <c r="M43" s="198">
        <f t="shared" si="57"/>
        <v>812.31000000000006</v>
      </c>
      <c r="N43" s="198">
        <f t="shared" si="57"/>
        <v>817.31000000000006</v>
      </c>
      <c r="O43" s="198">
        <f t="shared" si="57"/>
        <v>820.31000000000006</v>
      </c>
      <c r="P43" s="199">
        <f t="shared" si="57"/>
        <v>824.31000000000006</v>
      </c>
    </row>
    <row r="47" spans="2:16" hidden="1" x14ac:dyDescent="0.25"/>
    <row r="48" spans="2:16" hidden="1" x14ac:dyDescent="0.25"/>
    <row r="49" spans="2:16" hidden="1" x14ac:dyDescent="0.25"/>
    <row r="50" spans="2:16" hidden="1" x14ac:dyDescent="0.25"/>
    <row r="51" spans="2:16" hidden="1" x14ac:dyDescent="0.25">
      <c r="B51" s="817" t="s">
        <v>83</v>
      </c>
      <c r="C51" s="144"/>
      <c r="D51" s="144"/>
      <c r="E51" s="272"/>
      <c r="F51" s="817">
        <v>2012</v>
      </c>
      <c r="G51" s="817">
        <v>2013</v>
      </c>
      <c r="H51" s="817">
        <v>2014</v>
      </c>
      <c r="I51" s="817">
        <v>2015</v>
      </c>
      <c r="J51" s="817">
        <v>2016</v>
      </c>
      <c r="K51" s="817">
        <v>2017</v>
      </c>
      <c r="L51" s="817">
        <v>2018</v>
      </c>
      <c r="M51" s="817">
        <v>2019</v>
      </c>
      <c r="N51" s="817">
        <v>2020</v>
      </c>
      <c r="O51" s="817">
        <v>2021</v>
      </c>
      <c r="P51" s="817">
        <v>2022</v>
      </c>
    </row>
    <row r="52" spans="2:16" ht="15.75" hidden="1" thickBot="1" x14ac:dyDescent="0.3">
      <c r="B52" s="818"/>
      <c r="C52" s="145"/>
      <c r="D52" s="145"/>
      <c r="E52" s="273"/>
      <c r="F52" s="818"/>
      <c r="G52" s="818"/>
      <c r="H52" s="818"/>
      <c r="I52" s="818"/>
      <c r="J52" s="818"/>
      <c r="K52" s="818"/>
      <c r="L52" s="818"/>
      <c r="M52" s="818"/>
      <c r="N52" s="818"/>
      <c r="O52" s="818"/>
      <c r="P52" s="818"/>
    </row>
    <row r="53" spans="2:16" ht="15.75" hidden="1" thickBot="1" x14ac:dyDescent="0.3">
      <c r="B53" s="146" t="s">
        <v>84</v>
      </c>
      <c r="C53" s="147"/>
      <c r="D53" s="162"/>
      <c r="E53" s="162"/>
      <c r="F53" s="147">
        <v>174000</v>
      </c>
      <c r="G53" s="147">
        <v>150000</v>
      </c>
      <c r="H53" s="147">
        <v>179000</v>
      </c>
      <c r="I53" s="147">
        <v>209000</v>
      </c>
      <c r="J53" s="147">
        <v>134000</v>
      </c>
      <c r="K53" s="147">
        <v>200600</v>
      </c>
      <c r="L53" s="147">
        <v>200600</v>
      </c>
      <c r="M53" s="147">
        <v>200600</v>
      </c>
      <c r="N53" s="147">
        <v>200600</v>
      </c>
      <c r="O53" s="147">
        <v>200600</v>
      </c>
      <c r="P53" s="147">
        <v>200600</v>
      </c>
    </row>
    <row r="54" spans="2:16" ht="15.75" hidden="1" thickBot="1" x14ac:dyDescent="0.3">
      <c r="B54" s="152" t="s">
        <v>101</v>
      </c>
      <c r="C54" s="153"/>
      <c r="D54" s="159"/>
      <c r="E54" s="159"/>
      <c r="F54" s="153">
        <v>0</v>
      </c>
      <c r="G54" s="154">
        <v>41197</v>
      </c>
      <c r="H54" s="154">
        <v>83968</v>
      </c>
      <c r="I54" s="154">
        <v>80538</v>
      </c>
      <c r="J54" s="154">
        <v>88109</v>
      </c>
      <c r="K54" s="154">
        <v>85000</v>
      </c>
      <c r="L54" s="154">
        <v>85000</v>
      </c>
      <c r="M54" s="154">
        <v>85000</v>
      </c>
      <c r="N54" s="154">
        <v>85000</v>
      </c>
      <c r="O54" s="154">
        <v>85000</v>
      </c>
      <c r="P54" s="154">
        <v>85000</v>
      </c>
    </row>
    <row r="55" spans="2:16" ht="15.75" hidden="1" thickBot="1" x14ac:dyDescent="0.3">
      <c r="B55" s="155" t="s">
        <v>99</v>
      </c>
      <c r="C55" s="157"/>
      <c r="D55" s="160"/>
      <c r="E55" s="160"/>
      <c r="F55" s="156">
        <v>35506</v>
      </c>
      <c r="G55" s="156">
        <v>38730</v>
      </c>
      <c r="H55" s="156">
        <v>40978</v>
      </c>
      <c r="I55" s="156">
        <v>40996</v>
      </c>
      <c r="J55" s="156">
        <v>40317</v>
      </c>
      <c r="K55" s="156">
        <v>40000</v>
      </c>
      <c r="L55" s="156">
        <v>40000</v>
      </c>
      <c r="M55" s="156">
        <v>40000</v>
      </c>
      <c r="N55" s="156">
        <v>40000</v>
      </c>
      <c r="O55" s="156">
        <v>40000</v>
      </c>
      <c r="P55" s="156">
        <v>40000</v>
      </c>
    </row>
    <row r="56" spans="2:16" ht="15.75" hidden="1" thickBot="1" x14ac:dyDescent="0.3">
      <c r="B56" s="155" t="s">
        <v>100</v>
      </c>
      <c r="C56" s="157"/>
      <c r="D56" s="160"/>
      <c r="E56" s="160"/>
      <c r="F56" s="156">
        <v>45455</v>
      </c>
      <c r="G56" s="156">
        <v>43060</v>
      </c>
      <c r="H56" s="156">
        <v>42485</v>
      </c>
      <c r="I56" s="156">
        <v>42610</v>
      </c>
      <c r="J56" s="156">
        <v>47321</v>
      </c>
      <c r="K56" s="156">
        <v>45000</v>
      </c>
      <c r="L56" s="156">
        <v>45000</v>
      </c>
      <c r="M56" s="156">
        <v>45000</v>
      </c>
      <c r="N56" s="156">
        <v>45000</v>
      </c>
      <c r="O56" s="156">
        <v>45000</v>
      </c>
      <c r="P56" s="156">
        <v>45000</v>
      </c>
    </row>
    <row r="57" spans="2:16" ht="15.75" hidden="1" thickBot="1" x14ac:dyDescent="0.3">
      <c r="B57" s="155" t="s">
        <v>103</v>
      </c>
      <c r="C57" s="157"/>
      <c r="D57" s="160"/>
      <c r="E57" s="160"/>
      <c r="F57" s="156">
        <v>18185</v>
      </c>
      <c r="G57" s="156">
        <v>21777</v>
      </c>
      <c r="H57" s="156">
        <v>19694</v>
      </c>
      <c r="I57" s="157">
        <v>0</v>
      </c>
      <c r="J57" s="157">
        <v>0</v>
      </c>
      <c r="K57" s="157">
        <v>0</v>
      </c>
      <c r="L57" s="157">
        <v>0</v>
      </c>
      <c r="M57" s="157">
        <v>0</v>
      </c>
      <c r="N57" s="157">
        <v>0</v>
      </c>
      <c r="O57" s="157">
        <v>0</v>
      </c>
      <c r="P57" s="157">
        <v>0</v>
      </c>
    </row>
    <row r="58" spans="2:16" ht="15.75" hidden="1" thickBot="1" x14ac:dyDescent="0.3">
      <c r="B58" s="155" t="s">
        <v>97</v>
      </c>
      <c r="C58" s="157"/>
      <c r="D58" s="160"/>
      <c r="E58" s="160"/>
      <c r="F58" s="156">
        <v>19829</v>
      </c>
      <c r="G58" s="156">
        <v>15828</v>
      </c>
      <c r="H58" s="156">
        <v>13112</v>
      </c>
      <c r="I58" s="156">
        <v>13738</v>
      </c>
      <c r="J58" s="156">
        <v>13793</v>
      </c>
      <c r="K58" s="156">
        <v>14000</v>
      </c>
      <c r="L58" s="156">
        <v>14000</v>
      </c>
      <c r="M58" s="156">
        <v>14000</v>
      </c>
      <c r="N58" s="156">
        <v>14000</v>
      </c>
      <c r="O58" s="156">
        <v>14000</v>
      </c>
      <c r="P58" s="156">
        <v>14000</v>
      </c>
    </row>
    <row r="59" spans="2:16" ht="15.75" hidden="1" thickBot="1" x14ac:dyDescent="0.3">
      <c r="B59" s="155" t="s">
        <v>98</v>
      </c>
      <c r="C59" s="157"/>
      <c r="D59" s="160"/>
      <c r="E59" s="160"/>
      <c r="F59" s="156">
        <v>39504</v>
      </c>
      <c r="G59" s="156">
        <v>33899</v>
      </c>
      <c r="H59" s="156">
        <v>38071</v>
      </c>
      <c r="I59" s="156">
        <v>41325</v>
      </c>
      <c r="J59" s="156">
        <v>44449</v>
      </c>
      <c r="K59" s="156">
        <v>40000</v>
      </c>
      <c r="L59" s="156">
        <v>40000</v>
      </c>
      <c r="M59" s="156">
        <v>40000</v>
      </c>
      <c r="N59" s="156">
        <v>40000</v>
      </c>
      <c r="O59" s="156">
        <v>40000</v>
      </c>
      <c r="P59" s="156">
        <v>40000</v>
      </c>
    </row>
    <row r="60" spans="2:16" ht="15.75" hidden="1" thickBot="1" x14ac:dyDescent="0.3">
      <c r="B60" s="155" t="s">
        <v>102</v>
      </c>
      <c r="C60" s="157"/>
      <c r="D60" s="160"/>
      <c r="E60" s="160"/>
      <c r="F60" s="157">
        <v>0</v>
      </c>
      <c r="G60" s="157">
        <v>0</v>
      </c>
      <c r="H60" s="157">
        <v>0</v>
      </c>
      <c r="I60" s="157">
        <v>0</v>
      </c>
      <c r="J60" s="157">
        <v>0</v>
      </c>
      <c r="K60" s="157">
        <v>0</v>
      </c>
      <c r="L60" s="156">
        <v>20000</v>
      </c>
      <c r="M60" s="156">
        <v>40000</v>
      </c>
      <c r="N60" s="156">
        <v>40000</v>
      </c>
      <c r="O60" s="156">
        <v>40000</v>
      </c>
      <c r="P60" s="156">
        <v>40000</v>
      </c>
    </row>
    <row r="61" spans="2:16" ht="15.75" hidden="1" thickBot="1" x14ac:dyDescent="0.3">
      <c r="B61" s="146" t="s">
        <v>85</v>
      </c>
      <c r="C61" s="147"/>
      <c r="D61" s="162"/>
      <c r="E61" s="162"/>
      <c r="F61" s="147">
        <v>158478</v>
      </c>
      <c r="G61" s="147">
        <v>194492</v>
      </c>
      <c r="H61" s="147">
        <v>238308</v>
      </c>
      <c r="I61" s="147">
        <v>219116</v>
      </c>
      <c r="J61" s="147">
        <v>233990</v>
      </c>
      <c r="K61" s="147">
        <v>224000</v>
      </c>
      <c r="L61" s="147">
        <v>244000</v>
      </c>
      <c r="M61" s="147">
        <v>264000</v>
      </c>
      <c r="N61" s="147">
        <v>264000</v>
      </c>
      <c r="O61" s="147">
        <v>264000</v>
      </c>
      <c r="P61" s="147">
        <v>264000</v>
      </c>
    </row>
    <row r="62" spans="2:16" ht="15.75" hidden="1" thickBot="1" x14ac:dyDescent="0.3">
      <c r="B62" s="152" t="s">
        <v>86</v>
      </c>
      <c r="C62" s="153"/>
      <c r="D62" s="159"/>
      <c r="E62" s="159"/>
      <c r="F62" s="158">
        <v>14966</v>
      </c>
      <c r="G62" s="154">
        <v>14914</v>
      </c>
      <c r="H62" s="154">
        <v>15199</v>
      </c>
      <c r="I62" s="154">
        <v>19029</v>
      </c>
      <c r="J62" s="154">
        <v>24000</v>
      </c>
      <c r="K62" s="154">
        <v>26000</v>
      </c>
      <c r="L62" s="154">
        <v>28000</v>
      </c>
      <c r="M62" s="154">
        <v>30000</v>
      </c>
      <c r="N62" s="154">
        <v>30000</v>
      </c>
      <c r="O62" s="154">
        <v>30000</v>
      </c>
      <c r="P62" s="154">
        <v>30000</v>
      </c>
    </row>
    <row r="63" spans="2:16" ht="15.75" hidden="1" thickBot="1" x14ac:dyDescent="0.3">
      <c r="B63" s="155" t="s">
        <v>104</v>
      </c>
      <c r="C63" s="157"/>
      <c r="D63" s="160"/>
      <c r="E63" s="160"/>
      <c r="F63" s="156">
        <v>8171</v>
      </c>
      <c r="G63" s="156">
        <v>5459</v>
      </c>
      <c r="H63" s="156">
        <v>6000</v>
      </c>
      <c r="I63" s="156">
        <v>5970</v>
      </c>
      <c r="J63" s="156">
        <v>7500</v>
      </c>
      <c r="K63" s="156">
        <v>7000</v>
      </c>
      <c r="L63" s="156">
        <v>7000</v>
      </c>
      <c r="M63" s="156">
        <v>7000</v>
      </c>
      <c r="N63" s="156">
        <v>7000</v>
      </c>
      <c r="O63" s="156">
        <v>7000</v>
      </c>
      <c r="P63" s="156">
        <v>7000</v>
      </c>
    </row>
    <row r="64" spans="2:16" ht="15.75" hidden="1" thickBot="1" x14ac:dyDescent="0.3">
      <c r="B64" s="155" t="s">
        <v>105</v>
      </c>
      <c r="C64" s="157"/>
      <c r="D64" s="160"/>
      <c r="E64" s="160"/>
      <c r="F64" s="156">
        <v>1791</v>
      </c>
      <c r="G64" s="156">
        <v>4509</v>
      </c>
      <c r="H64" s="156">
        <v>10501</v>
      </c>
      <c r="I64" s="156">
        <v>21023</v>
      </c>
      <c r="J64" s="156">
        <v>21500</v>
      </c>
      <c r="K64" s="156">
        <v>25000</v>
      </c>
      <c r="L64" s="156">
        <v>30000</v>
      </c>
      <c r="M64" s="156">
        <v>30000</v>
      </c>
      <c r="N64" s="156">
        <v>30000</v>
      </c>
      <c r="O64" s="156">
        <v>30000</v>
      </c>
      <c r="P64" s="156">
        <v>30000</v>
      </c>
    </row>
    <row r="65" spans="2:16" ht="15.75" hidden="1" thickBot="1" x14ac:dyDescent="0.3">
      <c r="B65" s="155" t="s">
        <v>106</v>
      </c>
      <c r="C65" s="157"/>
      <c r="D65" s="160"/>
      <c r="E65" s="160"/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6">
        <v>10000</v>
      </c>
      <c r="L65" s="156">
        <v>20000</v>
      </c>
      <c r="M65" s="156">
        <v>20000</v>
      </c>
      <c r="N65" s="156">
        <v>20000</v>
      </c>
      <c r="O65" s="156">
        <v>20000</v>
      </c>
      <c r="P65" s="156">
        <v>20000</v>
      </c>
    </row>
    <row r="66" spans="2:16" ht="15.75" hidden="1" thickBot="1" x14ac:dyDescent="0.3">
      <c r="B66" s="146" t="s">
        <v>86</v>
      </c>
      <c r="C66" s="147"/>
      <c r="D66" s="162"/>
      <c r="E66" s="162"/>
      <c r="F66" s="147">
        <v>24928</v>
      </c>
      <c r="G66" s="147">
        <v>24882</v>
      </c>
      <c r="H66" s="147">
        <v>31700</v>
      </c>
      <c r="I66" s="147">
        <v>46022</v>
      </c>
      <c r="J66" s="147">
        <v>53000</v>
      </c>
      <c r="K66" s="147">
        <v>68000</v>
      </c>
      <c r="L66" s="147">
        <v>85000</v>
      </c>
      <c r="M66" s="147">
        <v>87000</v>
      </c>
      <c r="N66" s="147">
        <v>87000</v>
      </c>
      <c r="O66" s="147">
        <v>87000</v>
      </c>
      <c r="P66" s="147">
        <v>87000</v>
      </c>
    </row>
    <row r="67" spans="2:16" ht="15.75" hidden="1" thickBot="1" x14ac:dyDescent="0.3">
      <c r="B67" s="152" t="s">
        <v>107</v>
      </c>
      <c r="C67" s="153"/>
      <c r="D67" s="159"/>
      <c r="E67" s="159"/>
      <c r="F67" s="159">
        <v>49935</v>
      </c>
      <c r="G67" s="159">
        <v>45618</v>
      </c>
      <c r="H67" s="159">
        <v>24156</v>
      </c>
      <c r="I67" s="159">
        <v>28728</v>
      </c>
      <c r="J67" s="159">
        <v>33900</v>
      </c>
      <c r="K67" s="154">
        <v>46560</v>
      </c>
      <c r="L67" s="154">
        <v>46560</v>
      </c>
      <c r="M67" s="154">
        <v>46560</v>
      </c>
      <c r="N67" s="154">
        <v>46560</v>
      </c>
      <c r="O67" s="154">
        <v>46560</v>
      </c>
      <c r="P67" s="154">
        <v>46560</v>
      </c>
    </row>
    <row r="68" spans="2:16" ht="15.75" hidden="1" thickBot="1" x14ac:dyDescent="0.3">
      <c r="B68" s="155" t="s">
        <v>108</v>
      </c>
      <c r="C68" s="157"/>
      <c r="D68" s="160"/>
      <c r="E68" s="160"/>
      <c r="F68" s="160">
        <v>32839</v>
      </c>
      <c r="G68" s="160">
        <v>34406</v>
      </c>
      <c r="H68" s="160">
        <v>36886</v>
      </c>
      <c r="I68" s="160">
        <v>34555</v>
      </c>
      <c r="J68" s="160">
        <v>33000</v>
      </c>
      <c r="K68" s="156">
        <v>32250</v>
      </c>
      <c r="L68" s="156">
        <v>32250</v>
      </c>
      <c r="M68" s="156">
        <v>32250</v>
      </c>
      <c r="N68" s="156">
        <v>32250</v>
      </c>
      <c r="O68" s="156">
        <v>32250</v>
      </c>
      <c r="P68" s="156">
        <v>32250</v>
      </c>
    </row>
    <row r="69" spans="2:16" ht="15.75" hidden="1" thickBot="1" x14ac:dyDescent="0.3">
      <c r="B69" s="155" t="s">
        <v>109</v>
      </c>
      <c r="C69" s="157"/>
      <c r="D69" s="160"/>
      <c r="E69" s="160"/>
      <c r="F69" s="160">
        <v>6851</v>
      </c>
      <c r="G69" s="160">
        <v>19284</v>
      </c>
      <c r="H69" s="160">
        <v>9247</v>
      </c>
      <c r="I69" s="160">
        <v>2453</v>
      </c>
      <c r="J69" s="160">
        <v>20000</v>
      </c>
      <c r="K69" s="156">
        <v>22100</v>
      </c>
      <c r="L69" s="156">
        <v>22100</v>
      </c>
      <c r="M69" s="156">
        <v>22100</v>
      </c>
      <c r="N69" s="156">
        <v>22100</v>
      </c>
      <c r="O69" s="156">
        <v>22100</v>
      </c>
      <c r="P69" s="156">
        <v>22100</v>
      </c>
    </row>
    <row r="70" spans="2:16" ht="15.75" hidden="1" thickBot="1" x14ac:dyDescent="0.3">
      <c r="B70" s="161" t="s">
        <v>110</v>
      </c>
      <c r="C70" s="167"/>
      <c r="D70" s="163"/>
      <c r="E70" s="163"/>
      <c r="F70" s="160">
        <v>0</v>
      </c>
      <c r="G70" s="160">
        <v>0</v>
      </c>
      <c r="H70" s="160">
        <v>0</v>
      </c>
      <c r="I70" s="160">
        <v>0</v>
      </c>
      <c r="J70" s="160">
        <v>0</v>
      </c>
      <c r="K70" s="160">
        <v>0</v>
      </c>
      <c r="L70" s="160">
        <v>0</v>
      </c>
      <c r="M70" s="160">
        <v>0</v>
      </c>
      <c r="N70" s="160">
        <v>0</v>
      </c>
      <c r="O70" s="156">
        <v>3000</v>
      </c>
      <c r="P70" s="156">
        <v>7000</v>
      </c>
    </row>
    <row r="71" spans="2:16" ht="15.75" hidden="1" thickBot="1" x14ac:dyDescent="0.3">
      <c r="B71" s="146" t="s">
        <v>87</v>
      </c>
      <c r="C71" s="147"/>
      <c r="D71" s="162"/>
      <c r="E71" s="162"/>
      <c r="F71" s="147">
        <v>89766</v>
      </c>
      <c r="G71" s="147">
        <v>99434</v>
      </c>
      <c r="H71" s="147">
        <v>70289</v>
      </c>
      <c r="I71" s="147">
        <v>65736</v>
      </c>
      <c r="J71" s="147">
        <v>86900</v>
      </c>
      <c r="K71" s="147">
        <v>100910</v>
      </c>
      <c r="L71" s="147">
        <v>100910</v>
      </c>
      <c r="M71" s="147">
        <v>100910</v>
      </c>
      <c r="N71" s="147">
        <v>100910</v>
      </c>
      <c r="O71" s="147">
        <v>103910</v>
      </c>
      <c r="P71" s="147">
        <v>107910</v>
      </c>
    </row>
    <row r="72" spans="2:16" ht="15.75" hidden="1" thickBot="1" x14ac:dyDescent="0.3">
      <c r="B72" s="152" t="s">
        <v>111</v>
      </c>
      <c r="C72" s="153"/>
      <c r="D72" s="159"/>
      <c r="E72" s="159"/>
      <c r="F72" s="154">
        <v>29051</v>
      </c>
      <c r="G72" s="154">
        <v>31362</v>
      </c>
      <c r="H72" s="154">
        <v>25707</v>
      </c>
      <c r="I72" s="154">
        <v>30529</v>
      </c>
      <c r="J72" s="154">
        <v>28000</v>
      </c>
      <c r="K72" s="154">
        <v>30000</v>
      </c>
      <c r="L72" s="154">
        <v>30000</v>
      </c>
      <c r="M72" s="154">
        <v>30000</v>
      </c>
      <c r="N72" s="154">
        <v>30000</v>
      </c>
      <c r="O72" s="154">
        <v>30000</v>
      </c>
      <c r="P72" s="154">
        <v>30000</v>
      </c>
    </row>
    <row r="73" spans="2:16" ht="15.75" hidden="1" thickBot="1" x14ac:dyDescent="0.3">
      <c r="B73" s="155" t="s">
        <v>112</v>
      </c>
      <c r="C73" s="157"/>
      <c r="D73" s="160"/>
      <c r="E73" s="160"/>
      <c r="F73" s="156">
        <v>22897</v>
      </c>
      <c r="G73" s="156">
        <v>19210</v>
      </c>
      <c r="H73" s="156">
        <v>16678</v>
      </c>
      <c r="I73" s="156">
        <v>19158</v>
      </c>
      <c r="J73" s="156">
        <v>24000</v>
      </c>
      <c r="K73" s="156">
        <v>23000</v>
      </c>
      <c r="L73" s="156">
        <v>23000</v>
      </c>
      <c r="M73" s="156">
        <v>23000</v>
      </c>
      <c r="N73" s="156">
        <v>23000</v>
      </c>
      <c r="O73" s="156">
        <v>23000</v>
      </c>
      <c r="P73" s="156">
        <v>23000</v>
      </c>
    </row>
    <row r="74" spans="2:16" ht="15.75" hidden="1" thickBot="1" x14ac:dyDescent="0.3">
      <c r="B74" s="155" t="s">
        <v>113</v>
      </c>
      <c r="C74" s="157"/>
      <c r="D74" s="160"/>
      <c r="E74" s="160"/>
      <c r="F74" s="156">
        <v>18302</v>
      </c>
      <c r="G74" s="156">
        <v>13104</v>
      </c>
      <c r="H74" s="156">
        <v>16528</v>
      </c>
      <c r="I74" s="156">
        <v>23823</v>
      </c>
      <c r="J74" s="156">
        <v>20000</v>
      </c>
      <c r="K74" s="156">
        <v>19000</v>
      </c>
      <c r="L74" s="156">
        <v>19000</v>
      </c>
      <c r="M74" s="156">
        <v>19000</v>
      </c>
      <c r="N74" s="156">
        <v>19000</v>
      </c>
      <c r="O74" s="156">
        <v>19000</v>
      </c>
      <c r="P74" s="156">
        <v>19000</v>
      </c>
    </row>
    <row r="75" spans="2:16" ht="15.75" hidden="1" thickBot="1" x14ac:dyDescent="0.3">
      <c r="B75" s="146" t="s">
        <v>88</v>
      </c>
      <c r="C75" s="147"/>
      <c r="D75" s="162"/>
      <c r="E75" s="162"/>
      <c r="F75" s="147">
        <v>70250</v>
      </c>
      <c r="G75" s="147">
        <v>63675</v>
      </c>
      <c r="H75" s="147">
        <v>58913</v>
      </c>
      <c r="I75" s="147">
        <v>72000</v>
      </c>
      <c r="J75" s="147">
        <v>72000</v>
      </c>
      <c r="K75" s="147">
        <v>72000</v>
      </c>
      <c r="L75" s="147">
        <v>72000</v>
      </c>
      <c r="M75" s="147">
        <v>72000</v>
      </c>
      <c r="N75" s="147">
        <v>72000</v>
      </c>
      <c r="O75" s="147">
        <v>72000</v>
      </c>
      <c r="P75" s="147">
        <v>72000</v>
      </c>
    </row>
    <row r="76" spans="2:16" ht="18" hidden="1" thickBot="1" x14ac:dyDescent="0.3">
      <c r="B76" s="146" t="s">
        <v>95</v>
      </c>
      <c r="C76" s="147"/>
      <c r="D76" s="162"/>
      <c r="E76" s="162"/>
      <c r="F76" s="147">
        <v>2246</v>
      </c>
      <c r="G76" s="147">
        <v>3054</v>
      </c>
      <c r="H76" s="147">
        <v>5724</v>
      </c>
      <c r="I76" s="147">
        <v>7949</v>
      </c>
      <c r="J76" s="147">
        <v>5700</v>
      </c>
      <c r="K76" s="147">
        <v>5000</v>
      </c>
      <c r="L76" s="147">
        <v>5000</v>
      </c>
      <c r="M76" s="147">
        <v>5000</v>
      </c>
      <c r="N76" s="147">
        <v>5000</v>
      </c>
      <c r="O76" s="147">
        <v>5000</v>
      </c>
      <c r="P76" s="147">
        <v>5000</v>
      </c>
    </row>
    <row r="77" spans="2:16" ht="15.75" hidden="1" thickBot="1" x14ac:dyDescent="0.3">
      <c r="B77" s="146" t="s">
        <v>89</v>
      </c>
      <c r="C77" s="147"/>
      <c r="D77" s="162"/>
      <c r="E77" s="162"/>
      <c r="F77" s="147">
        <v>1478</v>
      </c>
      <c r="G77" s="147">
        <v>1673</v>
      </c>
      <c r="H77" s="147">
        <v>1675</v>
      </c>
      <c r="I77" s="147">
        <v>1850</v>
      </c>
      <c r="J77" s="147">
        <v>1600</v>
      </c>
      <c r="K77" s="147">
        <v>1800</v>
      </c>
      <c r="L77" s="147">
        <v>1800</v>
      </c>
      <c r="M77" s="147">
        <v>1800</v>
      </c>
      <c r="N77" s="147">
        <v>1800</v>
      </c>
      <c r="O77" s="147">
        <v>1800</v>
      </c>
      <c r="P77" s="147">
        <v>1800</v>
      </c>
    </row>
    <row r="78" spans="2:16" ht="15.75" hidden="1" thickBot="1" x14ac:dyDescent="0.3">
      <c r="B78" s="146" t="s">
        <v>90</v>
      </c>
      <c r="C78" s="147"/>
      <c r="D78" s="162"/>
      <c r="E78" s="162"/>
      <c r="F78" s="147">
        <v>5600</v>
      </c>
      <c r="G78" s="147">
        <v>7700</v>
      </c>
      <c r="H78" s="147">
        <v>8910</v>
      </c>
      <c r="I78" s="147">
        <v>9700</v>
      </c>
      <c r="J78" s="147">
        <v>9500</v>
      </c>
      <c r="K78" s="147">
        <v>16000</v>
      </c>
      <c r="L78" s="147">
        <v>16000</v>
      </c>
      <c r="M78" s="147">
        <v>16000</v>
      </c>
      <c r="N78" s="147">
        <v>16000</v>
      </c>
      <c r="O78" s="147">
        <v>16000</v>
      </c>
      <c r="P78" s="147">
        <v>16000</v>
      </c>
    </row>
    <row r="79" spans="2:16" ht="15.75" hidden="1" thickBot="1" x14ac:dyDescent="0.3">
      <c r="B79" s="146" t="s">
        <v>91</v>
      </c>
      <c r="C79" s="147"/>
      <c r="D79" s="162"/>
      <c r="E79" s="162"/>
      <c r="F79" s="147">
        <v>5600</v>
      </c>
      <c r="G79" s="147">
        <v>6760</v>
      </c>
      <c r="H79" s="147">
        <v>13195</v>
      </c>
      <c r="I79" s="147">
        <v>13900</v>
      </c>
      <c r="J79" s="147">
        <v>12900</v>
      </c>
      <c r="K79" s="147">
        <v>13000</v>
      </c>
      <c r="L79" s="147">
        <v>13000</v>
      </c>
      <c r="M79" s="147">
        <v>13000</v>
      </c>
      <c r="N79" s="147">
        <v>13000</v>
      </c>
      <c r="O79" s="147">
        <v>13000</v>
      </c>
      <c r="P79" s="147">
        <v>13000</v>
      </c>
    </row>
    <row r="80" spans="2:16" ht="15.75" hidden="1" thickBot="1" x14ac:dyDescent="0.3">
      <c r="B80" s="146" t="s">
        <v>92</v>
      </c>
      <c r="C80" s="147"/>
      <c r="D80" s="162"/>
      <c r="E80" s="162"/>
      <c r="F80" s="147">
        <v>7470</v>
      </c>
      <c r="G80" s="147">
        <v>6600</v>
      </c>
      <c r="H80" s="147">
        <v>5730</v>
      </c>
      <c r="I80" s="147">
        <v>5283</v>
      </c>
      <c r="J80" s="147">
        <v>4750</v>
      </c>
      <c r="K80" s="147">
        <v>5000</v>
      </c>
      <c r="L80" s="147">
        <v>10000</v>
      </c>
      <c r="M80" s="147">
        <v>16000</v>
      </c>
      <c r="N80" s="147">
        <v>18000</v>
      </c>
      <c r="O80" s="147">
        <v>18000</v>
      </c>
      <c r="P80" s="147">
        <v>18000</v>
      </c>
    </row>
    <row r="81" spans="2:19" ht="15.75" hidden="1" thickBot="1" x14ac:dyDescent="0.3">
      <c r="B81" s="146" t="s">
        <v>93</v>
      </c>
      <c r="C81" s="147"/>
      <c r="D81" s="162"/>
      <c r="E81" s="162"/>
      <c r="F81" s="147">
        <v>7811</v>
      </c>
      <c r="G81" s="147">
        <v>8085</v>
      </c>
      <c r="H81" s="147">
        <v>6509</v>
      </c>
      <c r="I81" s="147">
        <v>5860</v>
      </c>
      <c r="J81" s="147">
        <v>4200</v>
      </c>
      <c r="K81" s="147">
        <v>5000</v>
      </c>
      <c r="L81" s="147">
        <v>6000</v>
      </c>
      <c r="M81" s="147">
        <v>6000</v>
      </c>
      <c r="N81" s="147">
        <v>9000</v>
      </c>
      <c r="O81" s="147">
        <v>9000</v>
      </c>
      <c r="P81" s="147">
        <v>9000</v>
      </c>
    </row>
    <row r="82" spans="2:19" ht="15.75" hidden="1" thickBot="1" x14ac:dyDescent="0.3">
      <c r="B82" s="146" t="s">
        <v>94</v>
      </c>
      <c r="C82" s="147"/>
      <c r="D82" s="162"/>
      <c r="E82" s="162"/>
      <c r="F82" s="147">
        <v>4750</v>
      </c>
      <c r="G82" s="147">
        <v>4500</v>
      </c>
      <c r="H82" s="147">
        <v>4550</v>
      </c>
      <c r="I82" s="147">
        <v>3350</v>
      </c>
      <c r="J82" s="147">
        <v>2600</v>
      </c>
      <c r="K82" s="147">
        <v>3000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</row>
    <row r="83" spans="2:19" ht="15.75" hidden="1" thickBot="1" x14ac:dyDescent="0.3">
      <c r="B83" s="148" t="s">
        <v>48</v>
      </c>
      <c r="C83" s="149"/>
      <c r="D83" s="164"/>
      <c r="E83" s="164"/>
      <c r="F83" s="149">
        <v>107972</v>
      </c>
      <c r="G83" s="149">
        <v>71687</v>
      </c>
      <c r="H83" s="149">
        <v>35375</v>
      </c>
      <c r="I83" s="149">
        <v>27980</v>
      </c>
      <c r="J83" s="149">
        <v>30000</v>
      </c>
      <c r="K83" s="149">
        <v>30000</v>
      </c>
      <c r="L83" s="149">
        <v>30000</v>
      </c>
      <c r="M83" s="149">
        <v>30000</v>
      </c>
      <c r="N83" s="149">
        <v>30000</v>
      </c>
      <c r="O83" s="149">
        <v>30000</v>
      </c>
      <c r="P83" s="149">
        <v>30000</v>
      </c>
    </row>
    <row r="84" spans="2:19" hidden="1" x14ac:dyDescent="0.25">
      <c r="B84" s="819" t="s">
        <v>15</v>
      </c>
      <c r="C84" s="144"/>
      <c r="D84" s="150"/>
      <c r="E84" s="274"/>
      <c r="F84" s="817">
        <v>660349</v>
      </c>
      <c r="G84" s="817">
        <v>642542</v>
      </c>
      <c r="H84" s="817">
        <v>659878</v>
      </c>
      <c r="I84" s="817">
        <v>687746</v>
      </c>
      <c r="J84" s="817">
        <v>651140</v>
      </c>
      <c r="K84" s="817">
        <v>744310</v>
      </c>
      <c r="L84" s="817">
        <v>784310</v>
      </c>
      <c r="M84" s="817">
        <v>812310</v>
      </c>
      <c r="N84" s="817">
        <v>817310</v>
      </c>
      <c r="O84" s="817">
        <v>820310</v>
      </c>
      <c r="P84" s="817">
        <v>824310</v>
      </c>
      <c r="S84" t="s">
        <v>96</v>
      </c>
    </row>
    <row r="85" spans="2:19" ht="15.75" hidden="1" thickBot="1" x14ac:dyDescent="0.3">
      <c r="B85" s="820"/>
      <c r="C85" s="145"/>
      <c r="D85" s="151"/>
      <c r="E85" s="275"/>
      <c r="F85" s="818"/>
      <c r="G85" s="818"/>
      <c r="H85" s="818"/>
      <c r="I85" s="818"/>
      <c r="J85" s="818"/>
      <c r="K85" s="818"/>
      <c r="L85" s="818"/>
      <c r="M85" s="818"/>
      <c r="N85" s="818"/>
      <c r="O85" s="818"/>
      <c r="P85" s="818"/>
    </row>
    <row r="86" spans="2:19" hidden="1" x14ac:dyDescent="0.25"/>
    <row r="87" spans="2:19" hidden="1" x14ac:dyDescent="0.25"/>
    <row r="88" spans="2:19" hidden="1" x14ac:dyDescent="0.25"/>
    <row r="89" spans="2:19" hidden="1" x14ac:dyDescent="0.25"/>
    <row r="90" spans="2:19" hidden="1" x14ac:dyDescent="0.25"/>
    <row r="91" spans="2:19" hidden="1" x14ac:dyDescent="0.25"/>
    <row r="92" spans="2:19" hidden="1" x14ac:dyDescent="0.25"/>
    <row r="93" spans="2:19" hidden="1" x14ac:dyDescent="0.25"/>
    <row r="94" spans="2:19" hidden="1" x14ac:dyDescent="0.25"/>
    <row r="95" spans="2:19" hidden="1" x14ac:dyDescent="0.25"/>
    <row r="96" spans="2:19" hidden="1" x14ac:dyDescent="0.25"/>
    <row r="97" spans="2:18" hidden="1" x14ac:dyDescent="0.25"/>
    <row r="98" spans="2:18" hidden="1" x14ac:dyDescent="0.25"/>
    <row r="99" spans="2:18" hidden="1" x14ac:dyDescent="0.25"/>
    <row r="100" spans="2:18" hidden="1" x14ac:dyDescent="0.25"/>
    <row r="101" spans="2:18" hidden="1" x14ac:dyDescent="0.25"/>
    <row r="102" spans="2:18" hidden="1" x14ac:dyDescent="0.25"/>
    <row r="103" spans="2:18" hidden="1" x14ac:dyDescent="0.25"/>
    <row r="104" spans="2:18" hidden="1" x14ac:dyDescent="0.25"/>
    <row r="105" spans="2:18" hidden="1" x14ac:dyDescent="0.25"/>
    <row r="106" spans="2:18" hidden="1" x14ac:dyDescent="0.25"/>
    <row r="107" spans="2:18" hidden="1" x14ac:dyDescent="0.25"/>
    <row r="108" spans="2:18" hidden="1" x14ac:dyDescent="0.25"/>
    <row r="110" spans="2:18" ht="18.75" x14ac:dyDescent="0.3">
      <c r="B110" s="266" t="s">
        <v>210</v>
      </c>
      <c r="R110" s="280" t="s">
        <v>214</v>
      </c>
    </row>
    <row r="111" spans="2:18" ht="15.75" x14ac:dyDescent="0.25">
      <c r="B111" s="815" t="s">
        <v>0</v>
      </c>
      <c r="C111" s="271"/>
      <c r="D111" s="271"/>
      <c r="E111" s="6" t="s">
        <v>206</v>
      </c>
      <c r="F111" s="809">
        <v>2012</v>
      </c>
      <c r="G111" s="809">
        <v>2013</v>
      </c>
      <c r="H111" s="809">
        <v>2014</v>
      </c>
      <c r="I111" s="811">
        <v>2015</v>
      </c>
      <c r="J111" s="813">
        <v>2016</v>
      </c>
      <c r="K111" s="809">
        <v>2017</v>
      </c>
      <c r="L111" s="809">
        <v>2018</v>
      </c>
      <c r="M111" s="809">
        <v>2019</v>
      </c>
      <c r="N111" s="809">
        <v>2020</v>
      </c>
      <c r="O111" s="809">
        <v>2021</v>
      </c>
      <c r="P111" s="811">
        <v>2022</v>
      </c>
    </row>
    <row r="112" spans="2:18" ht="16.5" thickBot="1" x14ac:dyDescent="0.3">
      <c r="B112" s="816"/>
      <c r="C112" s="165" t="s">
        <v>1</v>
      </c>
      <c r="D112" s="165" t="s">
        <v>2</v>
      </c>
      <c r="E112" s="276" t="s">
        <v>207</v>
      </c>
      <c r="F112" s="810"/>
      <c r="G112" s="810"/>
      <c r="H112" s="810"/>
      <c r="I112" s="812"/>
      <c r="J112" s="814"/>
      <c r="K112" s="810"/>
      <c r="L112" s="810"/>
      <c r="M112" s="810"/>
      <c r="N112" s="810"/>
      <c r="O112" s="810"/>
      <c r="P112" s="812"/>
    </row>
    <row r="113" spans="2:20" ht="15.75" x14ac:dyDescent="0.25">
      <c r="B113" s="169" t="s">
        <v>195</v>
      </c>
      <c r="C113" s="751" t="s">
        <v>84</v>
      </c>
      <c r="D113" s="170" t="s">
        <v>199</v>
      </c>
      <c r="E113" s="470" t="s">
        <v>19</v>
      </c>
      <c r="F113" s="171">
        <f>+F7</f>
        <v>174</v>
      </c>
      <c r="G113" s="171">
        <f t="shared" ref="G113:P113" si="58">+G7</f>
        <v>150</v>
      </c>
      <c r="H113" s="171">
        <f t="shared" si="58"/>
        <v>179</v>
      </c>
      <c r="I113" s="172">
        <f t="shared" si="58"/>
        <v>209</v>
      </c>
      <c r="J113" s="403">
        <f>34112000*0.54%*77%/1000</f>
        <v>141.83769600000002</v>
      </c>
      <c r="K113" s="361">
        <f>325/(2.204)</f>
        <v>147.45916515426495</v>
      </c>
      <c r="L113" s="411">
        <v>170</v>
      </c>
      <c r="M113" s="171">
        <f t="shared" si="58"/>
        <v>200.6</v>
      </c>
      <c r="N113" s="171">
        <f t="shared" si="58"/>
        <v>200.6</v>
      </c>
      <c r="O113" s="171">
        <f t="shared" si="58"/>
        <v>200.6</v>
      </c>
      <c r="P113" s="243">
        <f t="shared" si="58"/>
        <v>200.6</v>
      </c>
      <c r="R113" t="s">
        <v>367</v>
      </c>
    </row>
    <row r="114" spans="2:20" ht="15.75" x14ac:dyDescent="0.25">
      <c r="B114" s="173"/>
      <c r="C114" s="240"/>
      <c r="D114" s="173"/>
      <c r="E114" s="173"/>
      <c r="F114" s="175"/>
      <c r="G114" s="175"/>
      <c r="H114" s="175"/>
      <c r="I114" s="176"/>
      <c r="J114" s="404"/>
      <c r="K114" s="175"/>
      <c r="L114" s="175"/>
      <c r="M114" s="175"/>
      <c r="N114" s="175"/>
      <c r="O114" s="175"/>
      <c r="P114" s="176"/>
    </row>
    <row r="115" spans="2:20" ht="15.75" x14ac:dyDescent="0.25">
      <c r="B115" s="173" t="s">
        <v>101</v>
      </c>
      <c r="C115" s="240" t="s">
        <v>85</v>
      </c>
      <c r="D115" s="170" t="s">
        <v>199</v>
      </c>
      <c r="E115" s="174" t="s">
        <v>208</v>
      </c>
      <c r="F115" s="171">
        <f t="shared" ref="F115:P121" si="59">+F9</f>
        <v>0</v>
      </c>
      <c r="G115" s="171">
        <f t="shared" si="59"/>
        <v>41.197000000000003</v>
      </c>
      <c r="H115" s="171">
        <f t="shared" si="59"/>
        <v>83.968000000000004</v>
      </c>
      <c r="I115" s="172">
        <f t="shared" si="59"/>
        <v>80.537999999999997</v>
      </c>
      <c r="J115" s="405">
        <f t="shared" si="59"/>
        <v>88.108999999999995</v>
      </c>
      <c r="K115" s="171">
        <f t="shared" si="59"/>
        <v>85</v>
      </c>
      <c r="L115" s="171">
        <f t="shared" si="59"/>
        <v>85</v>
      </c>
      <c r="M115" s="171">
        <f t="shared" si="59"/>
        <v>85</v>
      </c>
      <c r="N115" s="171">
        <f t="shared" si="59"/>
        <v>85</v>
      </c>
      <c r="O115" s="171">
        <f t="shared" si="59"/>
        <v>85</v>
      </c>
      <c r="P115" s="172">
        <f t="shared" si="59"/>
        <v>85</v>
      </c>
      <c r="R115" t="s">
        <v>366</v>
      </c>
    </row>
    <row r="116" spans="2:20" ht="15.75" x14ac:dyDescent="0.25">
      <c r="B116" s="173" t="s">
        <v>99</v>
      </c>
      <c r="C116" s="240" t="s">
        <v>85</v>
      </c>
      <c r="D116" s="467" t="s">
        <v>199</v>
      </c>
      <c r="E116" s="174" t="s">
        <v>208</v>
      </c>
      <c r="F116" s="171">
        <f t="shared" si="59"/>
        <v>35.506</v>
      </c>
      <c r="G116" s="171">
        <f t="shared" si="59"/>
        <v>38.729999999999997</v>
      </c>
      <c r="H116" s="171">
        <f t="shared" si="59"/>
        <v>40.978000000000002</v>
      </c>
      <c r="I116" s="172">
        <f t="shared" si="59"/>
        <v>40.996000000000002</v>
      </c>
      <c r="J116" s="405">
        <f t="shared" si="59"/>
        <v>40.317</v>
      </c>
      <c r="K116" s="171">
        <f t="shared" si="59"/>
        <v>40</v>
      </c>
      <c r="L116" s="171">
        <f t="shared" si="59"/>
        <v>40</v>
      </c>
      <c r="M116" s="171">
        <f t="shared" si="59"/>
        <v>40</v>
      </c>
      <c r="N116" s="171">
        <f t="shared" si="59"/>
        <v>40</v>
      </c>
      <c r="O116" s="171">
        <f t="shared" si="59"/>
        <v>40</v>
      </c>
      <c r="P116" s="172">
        <f t="shared" si="59"/>
        <v>40</v>
      </c>
      <c r="R116" t="s">
        <v>368</v>
      </c>
    </row>
    <row r="117" spans="2:20" ht="15.75" x14ac:dyDescent="0.25">
      <c r="B117" s="173" t="s">
        <v>100</v>
      </c>
      <c r="C117" s="240" t="s">
        <v>85</v>
      </c>
      <c r="D117" s="170" t="s">
        <v>199</v>
      </c>
      <c r="E117" s="174" t="s">
        <v>208</v>
      </c>
      <c r="F117" s="171">
        <f t="shared" si="59"/>
        <v>45.454999999999998</v>
      </c>
      <c r="G117" s="171">
        <f t="shared" si="59"/>
        <v>43.06</v>
      </c>
      <c r="H117" s="171">
        <f t="shared" si="59"/>
        <v>42.484999999999999</v>
      </c>
      <c r="I117" s="172">
        <f t="shared" si="59"/>
        <v>42.61</v>
      </c>
      <c r="J117" s="405">
        <f t="shared" si="59"/>
        <v>47.320999999999998</v>
      </c>
      <c r="K117" s="171">
        <f t="shared" si="59"/>
        <v>45</v>
      </c>
      <c r="L117" s="171">
        <f t="shared" si="59"/>
        <v>45</v>
      </c>
      <c r="M117" s="171">
        <f t="shared" si="59"/>
        <v>45</v>
      </c>
      <c r="N117" s="171">
        <f t="shared" si="59"/>
        <v>45</v>
      </c>
      <c r="O117" s="171">
        <f t="shared" si="59"/>
        <v>45</v>
      </c>
      <c r="P117" s="172">
        <f t="shared" si="59"/>
        <v>45</v>
      </c>
    </row>
    <row r="118" spans="2:20" ht="15.75" x14ac:dyDescent="0.25">
      <c r="B118" s="173" t="s">
        <v>103</v>
      </c>
      <c r="C118" s="240" t="s">
        <v>85</v>
      </c>
      <c r="D118" s="174" t="s">
        <v>197</v>
      </c>
      <c r="E118" s="174" t="s">
        <v>208</v>
      </c>
      <c r="F118" s="171">
        <f t="shared" si="59"/>
        <v>18.184999999999999</v>
      </c>
      <c r="G118" s="171">
        <f t="shared" si="59"/>
        <v>21.777000000000001</v>
      </c>
      <c r="H118" s="171">
        <f t="shared" si="59"/>
        <v>19.693999999999999</v>
      </c>
      <c r="I118" s="172">
        <f t="shared" si="59"/>
        <v>0</v>
      </c>
      <c r="J118" s="405">
        <f t="shared" si="59"/>
        <v>0</v>
      </c>
      <c r="K118" s="171">
        <f t="shared" si="59"/>
        <v>0</v>
      </c>
      <c r="L118" s="171">
        <f t="shared" si="59"/>
        <v>0</v>
      </c>
      <c r="M118" s="171">
        <f t="shared" si="59"/>
        <v>0</v>
      </c>
      <c r="N118" s="171">
        <f t="shared" si="59"/>
        <v>0</v>
      </c>
      <c r="O118" s="171">
        <f t="shared" si="59"/>
        <v>0</v>
      </c>
      <c r="P118" s="172">
        <f t="shared" si="59"/>
        <v>0</v>
      </c>
    </row>
    <row r="119" spans="2:20" ht="15.75" x14ac:dyDescent="0.25">
      <c r="B119" s="173" t="s">
        <v>97</v>
      </c>
      <c r="C119" s="240" t="s">
        <v>85</v>
      </c>
      <c r="D119" s="170" t="s">
        <v>199</v>
      </c>
      <c r="E119" s="174" t="s">
        <v>208</v>
      </c>
      <c r="F119" s="171">
        <f t="shared" si="59"/>
        <v>19.829000000000001</v>
      </c>
      <c r="G119" s="171">
        <f t="shared" si="59"/>
        <v>15.827999999999999</v>
      </c>
      <c r="H119" s="171">
        <f t="shared" si="59"/>
        <v>13.112</v>
      </c>
      <c r="I119" s="172">
        <f t="shared" si="59"/>
        <v>13.738</v>
      </c>
      <c r="J119" s="405">
        <f t="shared" si="59"/>
        <v>13.792999999999999</v>
      </c>
      <c r="K119" s="171">
        <f t="shared" si="59"/>
        <v>14</v>
      </c>
      <c r="L119" s="171">
        <f t="shared" si="59"/>
        <v>14</v>
      </c>
      <c r="M119" s="171">
        <f t="shared" si="59"/>
        <v>14</v>
      </c>
      <c r="N119" s="171">
        <f t="shared" si="59"/>
        <v>14</v>
      </c>
      <c r="O119" s="171">
        <f t="shared" si="59"/>
        <v>14</v>
      </c>
      <c r="P119" s="172">
        <f t="shared" si="59"/>
        <v>14</v>
      </c>
    </row>
    <row r="120" spans="2:20" ht="15.75" x14ac:dyDescent="0.25">
      <c r="B120" s="173" t="s">
        <v>98</v>
      </c>
      <c r="C120" s="240" t="s">
        <v>85</v>
      </c>
      <c r="D120" s="170" t="s">
        <v>199</v>
      </c>
      <c r="E120" s="174" t="s">
        <v>208</v>
      </c>
      <c r="F120" s="171">
        <f t="shared" si="59"/>
        <v>39.503999999999998</v>
      </c>
      <c r="G120" s="171">
        <f t="shared" si="59"/>
        <v>33.899000000000001</v>
      </c>
      <c r="H120" s="171">
        <f t="shared" si="59"/>
        <v>38.070999999999998</v>
      </c>
      <c r="I120" s="172">
        <f t="shared" si="59"/>
        <v>41.325000000000003</v>
      </c>
      <c r="J120" s="405">
        <f t="shared" si="59"/>
        <v>44.448999999999998</v>
      </c>
      <c r="K120" s="171">
        <f t="shared" si="59"/>
        <v>40</v>
      </c>
      <c r="L120" s="171">
        <f t="shared" si="59"/>
        <v>40</v>
      </c>
      <c r="M120" s="171">
        <f t="shared" si="59"/>
        <v>40</v>
      </c>
      <c r="N120" s="171">
        <f t="shared" si="59"/>
        <v>40</v>
      </c>
      <c r="O120" s="171">
        <f t="shared" si="59"/>
        <v>40</v>
      </c>
      <c r="P120" s="172">
        <f t="shared" si="59"/>
        <v>40</v>
      </c>
    </row>
    <row r="121" spans="2:20" ht="15.75" x14ac:dyDescent="0.25">
      <c r="B121" s="177" t="s">
        <v>102</v>
      </c>
      <c r="C121" s="654" t="s">
        <v>85</v>
      </c>
      <c r="D121" s="179" t="s">
        <v>272</v>
      </c>
      <c r="E121" s="179" t="s">
        <v>208</v>
      </c>
      <c r="F121" s="171">
        <f t="shared" si="59"/>
        <v>0</v>
      </c>
      <c r="G121" s="171">
        <f t="shared" si="59"/>
        <v>0</v>
      </c>
      <c r="H121" s="171">
        <f t="shared" si="59"/>
        <v>0</v>
      </c>
      <c r="I121" s="172">
        <f t="shared" si="59"/>
        <v>0</v>
      </c>
      <c r="J121" s="405">
        <f t="shared" si="59"/>
        <v>0</v>
      </c>
      <c r="K121" s="171">
        <f t="shared" si="59"/>
        <v>0</v>
      </c>
      <c r="L121" s="171">
        <f t="shared" si="59"/>
        <v>20</v>
      </c>
      <c r="M121" s="171">
        <f t="shared" si="59"/>
        <v>40</v>
      </c>
      <c r="N121" s="171">
        <f t="shared" si="59"/>
        <v>40</v>
      </c>
      <c r="O121" s="171">
        <f t="shared" si="59"/>
        <v>40</v>
      </c>
      <c r="P121" s="172">
        <f t="shared" si="59"/>
        <v>40</v>
      </c>
    </row>
    <row r="122" spans="2:20" ht="15.75" x14ac:dyDescent="0.25">
      <c r="B122" s="182" t="s">
        <v>85</v>
      </c>
      <c r="C122" s="895"/>
      <c r="D122" s="182"/>
      <c r="E122" s="182"/>
      <c r="F122" s="183">
        <f>SUM(F115:F121)</f>
        <v>158.47899999999998</v>
      </c>
      <c r="G122" s="183">
        <f t="shared" ref="G122:P122" si="60">SUM(G115:G121)</f>
        <v>194.49100000000001</v>
      </c>
      <c r="H122" s="183">
        <f t="shared" si="60"/>
        <v>238.30799999999996</v>
      </c>
      <c r="I122" s="184">
        <f t="shared" si="60"/>
        <v>219.20699999999999</v>
      </c>
      <c r="J122" s="406">
        <f t="shared" si="60"/>
        <v>233.98899999999998</v>
      </c>
      <c r="K122" s="183">
        <f t="shared" si="60"/>
        <v>224</v>
      </c>
      <c r="L122" s="183">
        <f t="shared" si="60"/>
        <v>244</v>
      </c>
      <c r="M122" s="183">
        <f t="shared" si="60"/>
        <v>264</v>
      </c>
      <c r="N122" s="183">
        <f t="shared" si="60"/>
        <v>264</v>
      </c>
      <c r="O122" s="183">
        <f t="shared" si="60"/>
        <v>264</v>
      </c>
      <c r="P122" s="184">
        <f t="shared" si="60"/>
        <v>264</v>
      </c>
      <c r="T122" s="362"/>
    </row>
    <row r="123" spans="2:20" ht="15.75" x14ac:dyDescent="0.25">
      <c r="B123" s="185"/>
      <c r="C123" s="651"/>
      <c r="D123" s="185"/>
      <c r="E123" s="185"/>
      <c r="F123" s="187"/>
      <c r="G123" s="187"/>
      <c r="H123" s="187"/>
      <c r="I123" s="188"/>
      <c r="J123" s="407"/>
      <c r="K123" s="187"/>
      <c r="L123" s="187"/>
      <c r="M123" s="187"/>
      <c r="N123" s="187"/>
      <c r="O123" s="187"/>
      <c r="P123" s="188"/>
      <c r="T123" s="362"/>
    </row>
    <row r="124" spans="2:20" ht="15.75" x14ac:dyDescent="0.25">
      <c r="B124" s="173" t="s">
        <v>86</v>
      </c>
      <c r="C124" s="240" t="s">
        <v>86</v>
      </c>
      <c r="D124" s="170" t="s">
        <v>199</v>
      </c>
      <c r="E124" s="174" t="s">
        <v>208</v>
      </c>
      <c r="F124" s="171">
        <f t="shared" ref="F124:P124" si="61">+F18</f>
        <v>14.965999999999999</v>
      </c>
      <c r="G124" s="171">
        <f t="shared" si="61"/>
        <v>14.914</v>
      </c>
      <c r="H124" s="171">
        <f t="shared" si="61"/>
        <v>15.199</v>
      </c>
      <c r="I124" s="172">
        <f t="shared" si="61"/>
        <v>19.029</v>
      </c>
      <c r="J124" s="468">
        <f t="shared" si="61"/>
        <v>24</v>
      </c>
      <c r="K124" s="171">
        <f t="shared" si="61"/>
        <v>26</v>
      </c>
      <c r="L124" s="171">
        <f t="shared" si="61"/>
        <v>28</v>
      </c>
      <c r="M124" s="171">
        <f t="shared" si="61"/>
        <v>30</v>
      </c>
      <c r="N124" s="171">
        <f t="shared" si="61"/>
        <v>30</v>
      </c>
      <c r="O124" s="171">
        <f t="shared" si="61"/>
        <v>30</v>
      </c>
      <c r="P124" s="172">
        <f t="shared" si="61"/>
        <v>30</v>
      </c>
    </row>
    <row r="125" spans="2:20" ht="15.75" x14ac:dyDescent="0.25">
      <c r="B125" s="173" t="s">
        <v>104</v>
      </c>
      <c r="C125" s="240" t="s">
        <v>86</v>
      </c>
      <c r="D125" s="467" t="s">
        <v>199</v>
      </c>
      <c r="E125" s="174" t="s">
        <v>208</v>
      </c>
      <c r="F125" s="171">
        <f t="shared" ref="F125:P125" si="62">+F19</f>
        <v>8.1709999999999994</v>
      </c>
      <c r="G125" s="171">
        <f t="shared" si="62"/>
        <v>5.4589999999999996</v>
      </c>
      <c r="H125" s="171">
        <f t="shared" si="62"/>
        <v>6</v>
      </c>
      <c r="I125" s="172">
        <f t="shared" si="62"/>
        <v>5.97</v>
      </c>
      <c r="J125" s="468">
        <f t="shared" si="62"/>
        <v>7.5</v>
      </c>
      <c r="K125" s="171">
        <f t="shared" si="62"/>
        <v>7</v>
      </c>
      <c r="L125" s="171">
        <f t="shared" si="62"/>
        <v>7</v>
      </c>
      <c r="M125" s="171">
        <f t="shared" si="62"/>
        <v>7</v>
      </c>
      <c r="N125" s="171">
        <f t="shared" si="62"/>
        <v>7</v>
      </c>
      <c r="O125" s="171">
        <f t="shared" si="62"/>
        <v>7</v>
      </c>
      <c r="P125" s="172">
        <f t="shared" si="62"/>
        <v>7</v>
      </c>
    </row>
    <row r="126" spans="2:20" ht="15.75" x14ac:dyDescent="0.25">
      <c r="B126" s="173" t="s">
        <v>105</v>
      </c>
      <c r="C126" s="240" t="s">
        <v>86</v>
      </c>
      <c r="D126" s="467" t="s">
        <v>199</v>
      </c>
      <c r="E126" s="174" t="s">
        <v>208</v>
      </c>
      <c r="F126" s="171">
        <f t="shared" ref="F126:P126" si="63">+F20</f>
        <v>1.7909999999999999</v>
      </c>
      <c r="G126" s="171">
        <f t="shared" si="63"/>
        <v>4.5090000000000003</v>
      </c>
      <c r="H126" s="171">
        <f t="shared" si="63"/>
        <v>10.500999999999999</v>
      </c>
      <c r="I126" s="172">
        <f t="shared" si="63"/>
        <v>21.023</v>
      </c>
      <c r="J126" s="468">
        <f t="shared" si="63"/>
        <v>21.5</v>
      </c>
      <c r="K126" s="171">
        <f t="shared" si="63"/>
        <v>25</v>
      </c>
      <c r="L126" s="171">
        <f t="shared" si="63"/>
        <v>30</v>
      </c>
      <c r="M126" s="171">
        <f t="shared" si="63"/>
        <v>30</v>
      </c>
      <c r="N126" s="171">
        <f t="shared" si="63"/>
        <v>30</v>
      </c>
      <c r="O126" s="171">
        <f t="shared" si="63"/>
        <v>30</v>
      </c>
      <c r="P126" s="172">
        <f t="shared" si="63"/>
        <v>30</v>
      </c>
    </row>
    <row r="127" spans="2:20" ht="15.75" x14ac:dyDescent="0.25">
      <c r="B127" s="177" t="s">
        <v>106</v>
      </c>
      <c r="C127" s="654" t="s">
        <v>86</v>
      </c>
      <c r="D127" s="179" t="s">
        <v>218</v>
      </c>
      <c r="E127" s="179" t="s">
        <v>208</v>
      </c>
      <c r="F127" s="171">
        <f t="shared" ref="F127:P127" si="64">+F21</f>
        <v>0</v>
      </c>
      <c r="G127" s="171">
        <f t="shared" si="64"/>
        <v>0</v>
      </c>
      <c r="H127" s="171">
        <f t="shared" si="64"/>
        <v>0</v>
      </c>
      <c r="I127" s="172">
        <f t="shared" si="64"/>
        <v>0</v>
      </c>
      <c r="J127" s="468">
        <f t="shared" si="64"/>
        <v>0</v>
      </c>
      <c r="K127" s="171">
        <f t="shared" si="64"/>
        <v>10</v>
      </c>
      <c r="L127" s="171">
        <f t="shared" si="64"/>
        <v>20</v>
      </c>
      <c r="M127" s="171">
        <f t="shared" si="64"/>
        <v>20</v>
      </c>
      <c r="N127" s="171">
        <f t="shared" si="64"/>
        <v>20</v>
      </c>
      <c r="O127" s="171">
        <f t="shared" si="64"/>
        <v>20</v>
      </c>
      <c r="P127" s="172">
        <f t="shared" si="64"/>
        <v>20</v>
      </c>
    </row>
    <row r="128" spans="2:20" ht="15.75" x14ac:dyDescent="0.25">
      <c r="B128" s="182" t="s">
        <v>86</v>
      </c>
      <c r="C128" s="895"/>
      <c r="D128" s="182"/>
      <c r="E128" s="182"/>
      <c r="F128" s="183">
        <f>SUM(F124:F127)</f>
        <v>24.928000000000001</v>
      </c>
      <c r="G128" s="183">
        <f t="shared" ref="G128:P128" si="65">SUM(G124:G127)</f>
        <v>24.881999999999998</v>
      </c>
      <c r="H128" s="183">
        <f t="shared" si="65"/>
        <v>31.699999999999996</v>
      </c>
      <c r="I128" s="184">
        <f t="shared" si="65"/>
        <v>46.021999999999998</v>
      </c>
      <c r="J128" s="469">
        <f t="shared" si="65"/>
        <v>53</v>
      </c>
      <c r="K128" s="183">
        <f t="shared" si="65"/>
        <v>68</v>
      </c>
      <c r="L128" s="183">
        <f t="shared" si="65"/>
        <v>85</v>
      </c>
      <c r="M128" s="183">
        <f t="shared" si="65"/>
        <v>87</v>
      </c>
      <c r="N128" s="183">
        <f t="shared" si="65"/>
        <v>87</v>
      </c>
      <c r="O128" s="183">
        <f t="shared" si="65"/>
        <v>87</v>
      </c>
      <c r="P128" s="184">
        <f t="shared" si="65"/>
        <v>87</v>
      </c>
    </row>
    <row r="129" spans="2:18" ht="15.75" x14ac:dyDescent="0.25">
      <c r="B129" s="185"/>
      <c r="C129" s="651"/>
      <c r="D129" s="185"/>
      <c r="E129" s="185"/>
      <c r="F129" s="187"/>
      <c r="G129" s="187"/>
      <c r="H129" s="187"/>
      <c r="I129" s="188"/>
      <c r="J129" s="407"/>
      <c r="K129" s="187"/>
      <c r="L129" s="187"/>
      <c r="M129" s="187"/>
      <c r="N129" s="187"/>
      <c r="O129" s="187"/>
      <c r="P129" s="188"/>
    </row>
    <row r="130" spans="2:18" ht="15.75" x14ac:dyDescent="0.25">
      <c r="B130" s="173" t="s">
        <v>107</v>
      </c>
      <c r="C130" s="240" t="s">
        <v>114</v>
      </c>
      <c r="D130" s="467" t="s">
        <v>199</v>
      </c>
      <c r="E130" s="174" t="s">
        <v>208</v>
      </c>
      <c r="F130" s="171">
        <f t="shared" ref="F130:P130" si="66">+F24</f>
        <v>49.935000000000002</v>
      </c>
      <c r="G130" s="171">
        <f t="shared" si="66"/>
        <v>45.618000000000002</v>
      </c>
      <c r="H130" s="171">
        <f t="shared" si="66"/>
        <v>24.155999999999999</v>
      </c>
      <c r="I130" s="172">
        <f t="shared" si="66"/>
        <v>28.728000000000002</v>
      </c>
      <c r="J130" s="468"/>
      <c r="K130" s="171">
        <f t="shared" si="66"/>
        <v>46.56</v>
      </c>
      <c r="L130" s="171">
        <f t="shared" si="66"/>
        <v>46.56</v>
      </c>
      <c r="M130" s="171">
        <f t="shared" si="66"/>
        <v>46.56</v>
      </c>
      <c r="N130" s="171">
        <f t="shared" si="66"/>
        <v>46.56</v>
      </c>
      <c r="O130" s="171">
        <f t="shared" si="66"/>
        <v>46.56</v>
      </c>
      <c r="P130" s="172">
        <f t="shared" si="66"/>
        <v>46.56</v>
      </c>
      <c r="R130" t="s">
        <v>369</v>
      </c>
    </row>
    <row r="131" spans="2:18" ht="15.75" x14ac:dyDescent="0.25">
      <c r="B131" s="173" t="s">
        <v>108</v>
      </c>
      <c r="C131" s="240" t="s">
        <v>114</v>
      </c>
      <c r="D131" s="467" t="s">
        <v>199</v>
      </c>
      <c r="E131" s="174" t="s">
        <v>208</v>
      </c>
      <c r="F131" s="171">
        <f t="shared" ref="F131:P131" si="67">+F25</f>
        <v>32.838999999999999</v>
      </c>
      <c r="G131" s="171">
        <f t="shared" si="67"/>
        <v>34.405999999999999</v>
      </c>
      <c r="H131" s="171">
        <f t="shared" si="67"/>
        <v>36.886000000000003</v>
      </c>
      <c r="I131" s="172">
        <f t="shared" si="67"/>
        <v>34.555</v>
      </c>
      <c r="J131" s="468"/>
      <c r="K131" s="171">
        <f t="shared" si="67"/>
        <v>32.25</v>
      </c>
      <c r="L131" s="171">
        <f t="shared" si="67"/>
        <v>32.25</v>
      </c>
      <c r="M131" s="171">
        <f t="shared" si="67"/>
        <v>32.25</v>
      </c>
      <c r="N131" s="171">
        <f t="shared" si="67"/>
        <v>32.25</v>
      </c>
      <c r="O131" s="171">
        <f t="shared" si="67"/>
        <v>32.25</v>
      </c>
      <c r="P131" s="172">
        <f t="shared" si="67"/>
        <v>32.25</v>
      </c>
      <c r="R131" t="s">
        <v>370</v>
      </c>
    </row>
    <row r="132" spans="2:18" ht="15.75" x14ac:dyDescent="0.25">
      <c r="B132" s="173" t="s">
        <v>109</v>
      </c>
      <c r="C132" s="240" t="s">
        <v>114</v>
      </c>
      <c r="D132" s="467" t="s">
        <v>199</v>
      </c>
      <c r="E132" s="174" t="s">
        <v>208</v>
      </c>
      <c r="F132" s="171">
        <f t="shared" ref="F132:P132" si="68">+F26</f>
        <v>6.851</v>
      </c>
      <c r="G132" s="171">
        <f t="shared" si="68"/>
        <v>19.283999999999999</v>
      </c>
      <c r="H132" s="171">
        <f t="shared" si="68"/>
        <v>9.2469999999999999</v>
      </c>
      <c r="I132" s="172">
        <f t="shared" si="68"/>
        <v>2.4529999999999998</v>
      </c>
      <c r="J132" s="468"/>
      <c r="K132" s="171">
        <f t="shared" si="68"/>
        <v>22.1</v>
      </c>
      <c r="L132" s="171">
        <f t="shared" si="68"/>
        <v>22.1</v>
      </c>
      <c r="M132" s="171">
        <f t="shared" si="68"/>
        <v>22.1</v>
      </c>
      <c r="N132" s="171">
        <f t="shared" si="68"/>
        <v>22.1</v>
      </c>
      <c r="O132" s="171">
        <f t="shared" si="68"/>
        <v>22.1</v>
      </c>
      <c r="P132" s="172">
        <f t="shared" si="68"/>
        <v>22.1</v>
      </c>
      <c r="R132" t="s">
        <v>371</v>
      </c>
    </row>
    <row r="133" spans="2:18" ht="15.75" x14ac:dyDescent="0.25">
      <c r="B133" s="189" t="s">
        <v>110</v>
      </c>
      <c r="C133" s="240" t="s">
        <v>114</v>
      </c>
      <c r="D133" s="179" t="s">
        <v>272</v>
      </c>
      <c r="E133" s="179" t="s">
        <v>208</v>
      </c>
      <c r="F133" s="171">
        <f t="shared" ref="F133:P133" si="69">+F27</f>
        <v>0</v>
      </c>
      <c r="G133" s="171">
        <f t="shared" si="69"/>
        <v>0</v>
      </c>
      <c r="H133" s="171">
        <f t="shared" si="69"/>
        <v>0</v>
      </c>
      <c r="I133" s="172">
        <f t="shared" si="69"/>
        <v>0</v>
      </c>
      <c r="J133" s="468"/>
      <c r="K133" s="171">
        <f t="shared" si="69"/>
        <v>0</v>
      </c>
      <c r="L133" s="171">
        <f t="shared" si="69"/>
        <v>0</v>
      </c>
      <c r="M133" s="171">
        <f t="shared" si="69"/>
        <v>0</v>
      </c>
      <c r="N133" s="171">
        <f t="shared" si="69"/>
        <v>0</v>
      </c>
      <c r="O133" s="171">
        <f t="shared" si="69"/>
        <v>3</v>
      </c>
      <c r="P133" s="172">
        <f t="shared" si="69"/>
        <v>7</v>
      </c>
      <c r="R133" t="s">
        <v>372</v>
      </c>
    </row>
    <row r="134" spans="2:18" ht="15.75" x14ac:dyDescent="0.25">
      <c r="B134" s="182" t="s">
        <v>114</v>
      </c>
      <c r="C134" s="895"/>
      <c r="D134" s="190"/>
      <c r="E134" s="190"/>
      <c r="F134" s="183">
        <f>SUM(F130:F133)</f>
        <v>89.625</v>
      </c>
      <c r="G134" s="183">
        <f t="shared" ref="G134:P134" si="70">SUM(G130:G133)</f>
        <v>99.307999999999993</v>
      </c>
      <c r="H134" s="183">
        <f t="shared" si="70"/>
        <v>70.289000000000001</v>
      </c>
      <c r="I134" s="184">
        <f t="shared" si="70"/>
        <v>65.736000000000004</v>
      </c>
      <c r="J134" s="469">
        <v>73.900000000000006</v>
      </c>
      <c r="K134" s="183">
        <f t="shared" si="70"/>
        <v>100.91</v>
      </c>
      <c r="L134" s="183">
        <f t="shared" si="70"/>
        <v>100.91</v>
      </c>
      <c r="M134" s="183">
        <f t="shared" si="70"/>
        <v>100.91</v>
      </c>
      <c r="N134" s="183">
        <f t="shared" si="70"/>
        <v>100.91</v>
      </c>
      <c r="O134" s="183">
        <f t="shared" si="70"/>
        <v>103.91</v>
      </c>
      <c r="P134" s="184">
        <f t="shared" si="70"/>
        <v>107.91</v>
      </c>
    </row>
    <row r="135" spans="2:18" ht="15.75" x14ac:dyDescent="0.25">
      <c r="B135" s="185"/>
      <c r="C135" s="651"/>
      <c r="D135" s="185"/>
      <c r="E135" s="185"/>
      <c r="F135" s="187"/>
      <c r="G135" s="187"/>
      <c r="H135" s="187"/>
      <c r="I135" s="188"/>
      <c r="J135" s="407"/>
      <c r="K135" s="187"/>
      <c r="L135" s="187"/>
      <c r="M135" s="187"/>
      <c r="N135" s="187"/>
      <c r="O135" s="187"/>
      <c r="P135" s="188"/>
    </row>
    <row r="136" spans="2:18" ht="15.75" x14ac:dyDescent="0.25">
      <c r="B136" s="173" t="s">
        <v>111</v>
      </c>
      <c r="C136" s="240" t="s">
        <v>88</v>
      </c>
      <c r="D136" s="174" t="s">
        <v>199</v>
      </c>
      <c r="E136" s="174" t="s">
        <v>208</v>
      </c>
      <c r="F136" s="171">
        <f t="shared" ref="F136:P136" si="71">+F30</f>
        <v>29.050999999999998</v>
      </c>
      <c r="G136" s="171">
        <f t="shared" si="71"/>
        <v>31.361999999999998</v>
      </c>
      <c r="H136" s="171">
        <f t="shared" si="71"/>
        <v>25.707000000000001</v>
      </c>
      <c r="I136" s="172">
        <f t="shared" si="71"/>
        <v>30.529</v>
      </c>
      <c r="J136" s="468"/>
      <c r="K136" s="171">
        <f t="shared" si="71"/>
        <v>30</v>
      </c>
      <c r="L136" s="171">
        <f t="shared" si="71"/>
        <v>30</v>
      </c>
      <c r="M136" s="171">
        <f t="shared" si="71"/>
        <v>30</v>
      </c>
      <c r="N136" s="171">
        <f t="shared" si="71"/>
        <v>30</v>
      </c>
      <c r="O136" s="171">
        <f t="shared" si="71"/>
        <v>30</v>
      </c>
      <c r="P136" s="172">
        <f t="shared" si="71"/>
        <v>30</v>
      </c>
      <c r="R136" t="s">
        <v>373</v>
      </c>
    </row>
    <row r="137" spans="2:18" ht="15.75" x14ac:dyDescent="0.25">
      <c r="B137" s="173" t="s">
        <v>112</v>
      </c>
      <c r="C137" s="240" t="s">
        <v>88</v>
      </c>
      <c r="D137" s="174" t="s">
        <v>199</v>
      </c>
      <c r="E137" s="174" t="s">
        <v>208</v>
      </c>
      <c r="F137" s="171">
        <f t="shared" ref="F137:P137" si="72">+F31</f>
        <v>22.896999999999998</v>
      </c>
      <c r="G137" s="171">
        <f t="shared" si="72"/>
        <v>19.21</v>
      </c>
      <c r="H137" s="171">
        <f t="shared" si="72"/>
        <v>16.678000000000001</v>
      </c>
      <c r="I137" s="172">
        <f t="shared" si="72"/>
        <v>19.158000000000001</v>
      </c>
      <c r="J137" s="468"/>
      <c r="K137" s="171">
        <f t="shared" si="72"/>
        <v>23</v>
      </c>
      <c r="L137" s="171">
        <f t="shared" si="72"/>
        <v>23</v>
      </c>
      <c r="M137" s="171">
        <f t="shared" si="72"/>
        <v>23</v>
      </c>
      <c r="N137" s="171">
        <f t="shared" si="72"/>
        <v>23</v>
      </c>
      <c r="O137" s="171">
        <f t="shared" si="72"/>
        <v>23</v>
      </c>
      <c r="P137" s="172">
        <f t="shared" si="72"/>
        <v>23</v>
      </c>
      <c r="R137" t="s">
        <v>369</v>
      </c>
    </row>
    <row r="138" spans="2:18" ht="15.75" x14ac:dyDescent="0.25">
      <c r="B138" s="177" t="s">
        <v>113</v>
      </c>
      <c r="C138" s="654" t="s">
        <v>88</v>
      </c>
      <c r="D138" s="178" t="s">
        <v>199</v>
      </c>
      <c r="E138" s="178" t="s">
        <v>208</v>
      </c>
      <c r="F138" s="171">
        <f t="shared" ref="F138:P138" si="73">+F32</f>
        <v>18.302</v>
      </c>
      <c r="G138" s="171">
        <f t="shared" si="73"/>
        <v>13.103999999999999</v>
      </c>
      <c r="H138" s="171">
        <f t="shared" si="73"/>
        <v>16.527999999999999</v>
      </c>
      <c r="I138" s="172">
        <f t="shared" si="73"/>
        <v>23.823</v>
      </c>
      <c r="J138" s="468"/>
      <c r="K138" s="171">
        <f t="shared" si="73"/>
        <v>19</v>
      </c>
      <c r="L138" s="171">
        <f t="shared" si="73"/>
        <v>19</v>
      </c>
      <c r="M138" s="171">
        <f t="shared" si="73"/>
        <v>19</v>
      </c>
      <c r="N138" s="171">
        <f t="shared" si="73"/>
        <v>19</v>
      </c>
      <c r="O138" s="171">
        <f t="shared" si="73"/>
        <v>19</v>
      </c>
      <c r="P138" s="172">
        <f t="shared" si="73"/>
        <v>19</v>
      </c>
    </row>
    <row r="139" spans="2:18" ht="15.75" x14ac:dyDescent="0.25">
      <c r="B139" s="182" t="s">
        <v>88</v>
      </c>
      <c r="C139" s="772"/>
      <c r="D139" s="190"/>
      <c r="E139" s="190"/>
      <c r="F139" s="183">
        <f>SUM(F136:F138)</f>
        <v>70.25</v>
      </c>
      <c r="G139" s="183">
        <f t="shared" ref="G139:P139" si="74">SUM(G136:G138)</f>
        <v>63.676000000000002</v>
      </c>
      <c r="H139" s="183">
        <f t="shared" si="74"/>
        <v>58.913000000000004</v>
      </c>
      <c r="I139" s="184">
        <f t="shared" si="74"/>
        <v>73.509999999999991</v>
      </c>
      <c r="J139" s="469">
        <v>70.3</v>
      </c>
      <c r="K139" s="183">
        <f t="shared" si="74"/>
        <v>72</v>
      </c>
      <c r="L139" s="183">
        <f t="shared" si="74"/>
        <v>72</v>
      </c>
      <c r="M139" s="183">
        <f t="shared" si="74"/>
        <v>72</v>
      </c>
      <c r="N139" s="183">
        <f t="shared" si="74"/>
        <v>72</v>
      </c>
      <c r="O139" s="183">
        <f t="shared" si="74"/>
        <v>72</v>
      </c>
      <c r="P139" s="184">
        <f t="shared" si="74"/>
        <v>72</v>
      </c>
    </row>
    <row r="140" spans="2:18" ht="15.75" x14ac:dyDescent="0.25">
      <c r="B140" s="185"/>
      <c r="C140" s="651"/>
      <c r="D140" s="185"/>
      <c r="E140" s="185"/>
      <c r="F140" s="187"/>
      <c r="G140" s="187"/>
      <c r="H140" s="187"/>
      <c r="I140" s="188"/>
      <c r="J140" s="407"/>
      <c r="K140" s="187"/>
      <c r="L140" s="187"/>
      <c r="M140" s="187"/>
      <c r="N140" s="187"/>
      <c r="O140" s="187"/>
      <c r="P140" s="188"/>
    </row>
    <row r="141" spans="2:18" ht="18" x14ac:dyDescent="0.25">
      <c r="B141" s="173" t="s">
        <v>374</v>
      </c>
      <c r="C141" s="240" t="s">
        <v>115</v>
      </c>
      <c r="D141" s="174" t="s">
        <v>199</v>
      </c>
      <c r="E141" s="174" t="s">
        <v>208</v>
      </c>
      <c r="F141" s="171">
        <f t="shared" ref="F141:P141" si="75">+F35</f>
        <v>2.246</v>
      </c>
      <c r="G141" s="171">
        <f t="shared" si="75"/>
        <v>3.0539999999999998</v>
      </c>
      <c r="H141" s="171">
        <f t="shared" si="75"/>
        <v>5.7240000000000002</v>
      </c>
      <c r="I141" s="172">
        <f t="shared" si="75"/>
        <v>7.9489999999999998</v>
      </c>
      <c r="J141" s="403">
        <v>4.8</v>
      </c>
      <c r="K141" s="171">
        <f t="shared" si="75"/>
        <v>5</v>
      </c>
      <c r="L141" s="171">
        <f t="shared" si="75"/>
        <v>5</v>
      </c>
      <c r="M141" s="171">
        <f t="shared" si="75"/>
        <v>5</v>
      </c>
      <c r="N141" s="171">
        <f t="shared" si="75"/>
        <v>5</v>
      </c>
      <c r="O141" s="171">
        <f t="shared" si="75"/>
        <v>5</v>
      </c>
      <c r="P141" s="172">
        <f t="shared" si="75"/>
        <v>5</v>
      </c>
    </row>
    <row r="142" spans="2:18" ht="15.75" x14ac:dyDescent="0.25">
      <c r="B142" s="173" t="s">
        <v>375</v>
      </c>
      <c r="C142" s="240" t="s">
        <v>89</v>
      </c>
      <c r="D142" s="174" t="s">
        <v>199</v>
      </c>
      <c r="E142" s="174" t="s">
        <v>208</v>
      </c>
      <c r="F142" s="171">
        <f t="shared" ref="F142:P142" si="76">+F36</f>
        <v>1.478</v>
      </c>
      <c r="G142" s="171">
        <f t="shared" si="76"/>
        <v>1.673</v>
      </c>
      <c r="H142" s="171">
        <f t="shared" si="76"/>
        <v>1.675</v>
      </c>
      <c r="I142" s="172">
        <f t="shared" si="76"/>
        <v>1.85</v>
      </c>
      <c r="J142" s="408">
        <v>1.5</v>
      </c>
      <c r="K142" s="171">
        <f t="shared" si="76"/>
        <v>1.8</v>
      </c>
      <c r="L142" s="171">
        <f t="shared" si="76"/>
        <v>1.8</v>
      </c>
      <c r="M142" s="171">
        <f t="shared" si="76"/>
        <v>1.8</v>
      </c>
      <c r="N142" s="171">
        <f t="shared" si="76"/>
        <v>1.8</v>
      </c>
      <c r="O142" s="171">
        <f t="shared" si="76"/>
        <v>1.8</v>
      </c>
      <c r="P142" s="172">
        <f t="shared" si="76"/>
        <v>1.8</v>
      </c>
    </row>
    <row r="143" spans="2:18" ht="15.75" x14ac:dyDescent="0.25">
      <c r="B143" s="173" t="s">
        <v>194</v>
      </c>
      <c r="C143" s="240" t="s">
        <v>90</v>
      </c>
      <c r="D143" s="174" t="s">
        <v>320</v>
      </c>
      <c r="E143" s="174" t="s">
        <v>208</v>
      </c>
      <c r="F143" s="171">
        <f t="shared" ref="F143:I143" si="77">+F37</f>
        <v>5.6</v>
      </c>
      <c r="G143" s="171">
        <f t="shared" si="77"/>
        <v>7.7</v>
      </c>
      <c r="H143" s="171">
        <f t="shared" si="77"/>
        <v>8.91</v>
      </c>
      <c r="I143" s="172">
        <f t="shared" si="77"/>
        <v>9.6999999999999993</v>
      </c>
      <c r="J143" s="408">
        <v>11.4</v>
      </c>
      <c r="K143" s="361">
        <v>19.5</v>
      </c>
      <c r="L143" s="361">
        <v>20</v>
      </c>
      <c r="M143" s="361">
        <v>20</v>
      </c>
      <c r="N143" s="411">
        <v>18</v>
      </c>
      <c r="O143" s="411">
        <v>18</v>
      </c>
      <c r="P143" s="412">
        <v>18</v>
      </c>
      <c r="R143" t="s">
        <v>319</v>
      </c>
    </row>
    <row r="144" spans="2:18" ht="15.75" x14ac:dyDescent="0.25">
      <c r="B144" s="173" t="s">
        <v>376</v>
      </c>
      <c r="C144" s="240" t="s">
        <v>377</v>
      </c>
      <c r="D144" s="174" t="s">
        <v>199</v>
      </c>
      <c r="E144" s="174" t="s">
        <v>208</v>
      </c>
      <c r="F144" s="171">
        <f t="shared" ref="F144:P144" si="78">+F38</f>
        <v>5.6</v>
      </c>
      <c r="G144" s="171">
        <f t="shared" si="78"/>
        <v>6.76</v>
      </c>
      <c r="H144" s="171">
        <f t="shared" si="78"/>
        <v>13.195</v>
      </c>
      <c r="I144" s="172">
        <f t="shared" si="78"/>
        <v>13.9</v>
      </c>
      <c r="J144" s="403">
        <f t="shared" si="78"/>
        <v>12.9</v>
      </c>
      <c r="K144" s="171">
        <f t="shared" si="78"/>
        <v>13</v>
      </c>
      <c r="L144" s="171">
        <f t="shared" si="78"/>
        <v>13</v>
      </c>
      <c r="M144" s="171">
        <f t="shared" si="78"/>
        <v>13</v>
      </c>
      <c r="N144" s="171">
        <f t="shared" si="78"/>
        <v>13</v>
      </c>
      <c r="O144" s="171">
        <f t="shared" si="78"/>
        <v>13</v>
      </c>
      <c r="P144" s="172">
        <f t="shared" si="78"/>
        <v>13</v>
      </c>
      <c r="R144" t="s">
        <v>378</v>
      </c>
    </row>
    <row r="145" spans="2:18" ht="15.75" x14ac:dyDescent="0.25">
      <c r="B145" s="173" t="s">
        <v>379</v>
      </c>
      <c r="C145" s="240" t="s">
        <v>380</v>
      </c>
      <c r="D145" s="174" t="s">
        <v>320</v>
      </c>
      <c r="E145" s="174" t="s">
        <v>208</v>
      </c>
      <c r="F145" s="171">
        <f t="shared" ref="F145:P145" si="79">+F39</f>
        <v>7.47</v>
      </c>
      <c r="G145" s="171">
        <f t="shared" si="79"/>
        <v>6.6</v>
      </c>
      <c r="H145" s="171">
        <f t="shared" si="79"/>
        <v>5.73</v>
      </c>
      <c r="I145" s="172">
        <f t="shared" si="79"/>
        <v>5.2830000000000004</v>
      </c>
      <c r="J145" s="408">
        <v>4.8</v>
      </c>
      <c r="K145" s="171">
        <f t="shared" si="79"/>
        <v>5</v>
      </c>
      <c r="L145" s="171">
        <f t="shared" si="79"/>
        <v>10</v>
      </c>
      <c r="M145" s="171">
        <f t="shared" si="79"/>
        <v>16</v>
      </c>
      <c r="N145" s="171">
        <f t="shared" si="79"/>
        <v>18</v>
      </c>
      <c r="O145" s="171">
        <f t="shared" si="79"/>
        <v>18</v>
      </c>
      <c r="P145" s="172">
        <f t="shared" si="79"/>
        <v>18</v>
      </c>
      <c r="R145" t="s">
        <v>381</v>
      </c>
    </row>
    <row r="146" spans="2:18" ht="15.75" x14ac:dyDescent="0.25">
      <c r="B146" s="173" t="s">
        <v>382</v>
      </c>
      <c r="C146" s="240" t="s">
        <v>93</v>
      </c>
      <c r="D146" s="174" t="s">
        <v>199</v>
      </c>
      <c r="E146" s="174" t="s">
        <v>208</v>
      </c>
      <c r="F146" s="171">
        <f t="shared" ref="F146:P146" si="80">+F40</f>
        <v>7.8109999999999999</v>
      </c>
      <c r="G146" s="171">
        <f t="shared" si="80"/>
        <v>8.0850000000000009</v>
      </c>
      <c r="H146" s="171">
        <f t="shared" si="80"/>
        <v>6.5090000000000003</v>
      </c>
      <c r="I146" s="172">
        <f t="shared" si="80"/>
        <v>5.86</v>
      </c>
      <c r="J146" s="408">
        <f t="shared" si="80"/>
        <v>4.2</v>
      </c>
      <c r="K146" s="171">
        <f t="shared" si="80"/>
        <v>5</v>
      </c>
      <c r="L146" s="171">
        <f t="shared" si="80"/>
        <v>6</v>
      </c>
      <c r="M146" s="171">
        <f t="shared" si="80"/>
        <v>6</v>
      </c>
      <c r="N146" s="171">
        <f t="shared" si="80"/>
        <v>9</v>
      </c>
      <c r="O146" s="171">
        <f t="shared" si="80"/>
        <v>9</v>
      </c>
      <c r="P146" s="172">
        <f t="shared" si="80"/>
        <v>9</v>
      </c>
      <c r="R146" t="s">
        <v>383</v>
      </c>
    </row>
    <row r="147" spans="2:18" ht="15.75" x14ac:dyDescent="0.25">
      <c r="B147" s="173" t="s">
        <v>385</v>
      </c>
      <c r="C147" s="240" t="s">
        <v>94</v>
      </c>
      <c r="D147" s="174" t="s">
        <v>198</v>
      </c>
      <c r="E147" s="174" t="s">
        <v>208</v>
      </c>
      <c r="F147" s="171">
        <f t="shared" ref="F147:P147" si="81">+F41</f>
        <v>4.75</v>
      </c>
      <c r="G147" s="171">
        <f t="shared" si="81"/>
        <v>4.5</v>
      </c>
      <c r="H147" s="171">
        <f t="shared" si="81"/>
        <v>4.55</v>
      </c>
      <c r="I147" s="172">
        <f t="shared" si="81"/>
        <v>3.35</v>
      </c>
      <c r="J147" s="403">
        <v>2.5</v>
      </c>
      <c r="K147" s="171">
        <f t="shared" si="81"/>
        <v>3</v>
      </c>
      <c r="L147" s="171">
        <f t="shared" si="81"/>
        <v>0</v>
      </c>
      <c r="M147" s="171">
        <f t="shared" si="81"/>
        <v>0</v>
      </c>
      <c r="N147" s="171">
        <f t="shared" si="81"/>
        <v>0</v>
      </c>
      <c r="O147" s="171">
        <f t="shared" si="81"/>
        <v>0</v>
      </c>
      <c r="P147" s="172">
        <f t="shared" si="81"/>
        <v>0</v>
      </c>
    </row>
    <row r="148" spans="2:18" ht="16.5" thickBot="1" x14ac:dyDescent="0.3">
      <c r="B148" s="200" t="s">
        <v>48</v>
      </c>
      <c r="C148" s="896"/>
      <c r="D148" s="191"/>
      <c r="E148" s="471" t="s">
        <v>386</v>
      </c>
      <c r="F148" s="171">
        <f t="shared" ref="F148:P148" si="82">+F42</f>
        <v>107.97199999999999</v>
      </c>
      <c r="G148" s="171">
        <f t="shared" si="82"/>
        <v>71.686999999999998</v>
      </c>
      <c r="H148" s="171">
        <f t="shared" si="82"/>
        <v>35.375</v>
      </c>
      <c r="I148" s="172">
        <f t="shared" si="82"/>
        <v>27.98</v>
      </c>
      <c r="J148" s="405">
        <f t="shared" si="82"/>
        <v>30</v>
      </c>
      <c r="K148" s="171">
        <f t="shared" si="82"/>
        <v>30</v>
      </c>
      <c r="L148" s="171">
        <f t="shared" si="82"/>
        <v>30</v>
      </c>
      <c r="M148" s="171">
        <f t="shared" si="82"/>
        <v>30</v>
      </c>
      <c r="N148" s="171">
        <f t="shared" si="82"/>
        <v>30</v>
      </c>
      <c r="O148" s="171">
        <f t="shared" si="82"/>
        <v>30</v>
      </c>
      <c r="P148" s="193">
        <f t="shared" si="82"/>
        <v>30</v>
      </c>
      <c r="R148" t="s">
        <v>384</v>
      </c>
    </row>
    <row r="149" spans="2:18" ht="15.75" x14ac:dyDescent="0.25">
      <c r="B149" s="194" t="s">
        <v>15</v>
      </c>
      <c r="C149" s="195"/>
      <c r="D149" s="196"/>
      <c r="E149" s="337"/>
      <c r="F149" s="351">
        <f>+SUM(F141:F148)+F139+F134+F128+F122+F113</f>
        <v>660.20900000000006</v>
      </c>
      <c r="G149" s="198">
        <f t="shared" ref="G149:P149" si="83">+SUM(G141:G148)+G139+G134+G128+G122+G113</f>
        <v>642.41600000000005</v>
      </c>
      <c r="H149" s="198">
        <f t="shared" si="83"/>
        <v>659.87799999999993</v>
      </c>
      <c r="I149" s="199">
        <f t="shared" si="83"/>
        <v>689.34699999999998</v>
      </c>
      <c r="J149" s="409">
        <f t="shared" si="83"/>
        <v>645.12669599999992</v>
      </c>
      <c r="K149" s="198">
        <f t="shared" si="83"/>
        <v>694.66916515426499</v>
      </c>
      <c r="L149" s="198">
        <f t="shared" si="83"/>
        <v>757.71</v>
      </c>
      <c r="M149" s="198">
        <f t="shared" si="83"/>
        <v>816.31000000000006</v>
      </c>
      <c r="N149" s="198">
        <f t="shared" si="83"/>
        <v>819.31000000000006</v>
      </c>
      <c r="O149" s="198">
        <f t="shared" si="83"/>
        <v>822.31000000000006</v>
      </c>
      <c r="P149" s="199">
        <f t="shared" si="83"/>
        <v>826.31000000000006</v>
      </c>
    </row>
    <row r="153" spans="2:18" ht="18.75" x14ac:dyDescent="0.3">
      <c r="B153" s="280" t="s">
        <v>211</v>
      </c>
      <c r="C153"/>
      <c r="D153" s="166"/>
      <c r="E153" s="166"/>
    </row>
    <row r="154" spans="2:18" x14ac:dyDescent="0.25">
      <c r="C154"/>
      <c r="D154" s="166"/>
      <c r="E154" s="166"/>
    </row>
    <row r="155" spans="2:18" ht="15.75" x14ac:dyDescent="0.25">
      <c r="B155" t="s">
        <v>212</v>
      </c>
      <c r="C155" s="296">
        <v>51.6</v>
      </c>
      <c r="D155" s="166"/>
      <c r="E155" s="11" t="s">
        <v>209</v>
      </c>
      <c r="F155" t="s">
        <v>249</v>
      </c>
    </row>
    <row r="156" spans="2:18" ht="15.75" x14ac:dyDescent="0.25">
      <c r="B156" t="s">
        <v>213</v>
      </c>
      <c r="C156" s="297">
        <v>49</v>
      </c>
      <c r="D156" s="166"/>
      <c r="E156" s="11" t="s">
        <v>201</v>
      </c>
      <c r="F156" t="s">
        <v>292</v>
      </c>
    </row>
    <row r="157" spans="2:18" ht="15.75" x14ac:dyDescent="0.25">
      <c r="B157" t="s">
        <v>302</v>
      </c>
      <c r="C157" s="298">
        <v>36</v>
      </c>
      <c r="D157" s="166"/>
      <c r="E157" s="166"/>
    </row>
    <row r="158" spans="2:18" x14ac:dyDescent="0.25">
      <c r="C158"/>
      <c r="D158" s="166"/>
      <c r="E158" s="166"/>
    </row>
    <row r="159" spans="2:18" ht="15.75" x14ac:dyDescent="0.25">
      <c r="C159"/>
      <c r="D159" s="166"/>
      <c r="E159" s="6" t="s">
        <v>206</v>
      </c>
      <c r="F159" s="6">
        <v>2012</v>
      </c>
      <c r="G159" s="6">
        <f>+F159+1</f>
        <v>2013</v>
      </c>
      <c r="H159" s="6">
        <f t="shared" ref="H159:P159" si="84">+G159+1</f>
        <v>2014</v>
      </c>
      <c r="I159" s="7">
        <f t="shared" si="84"/>
        <v>2015</v>
      </c>
      <c r="J159" s="8">
        <f t="shared" si="84"/>
        <v>2016</v>
      </c>
      <c r="K159" s="6">
        <f t="shared" si="84"/>
        <v>2017</v>
      </c>
      <c r="L159" s="6">
        <f t="shared" si="84"/>
        <v>2018</v>
      </c>
      <c r="M159" s="6">
        <f t="shared" si="84"/>
        <v>2019</v>
      </c>
      <c r="N159" s="6">
        <f t="shared" si="84"/>
        <v>2020</v>
      </c>
      <c r="O159" s="6">
        <f t="shared" si="84"/>
        <v>2021</v>
      </c>
      <c r="P159" s="6">
        <f t="shared" si="84"/>
        <v>2022</v>
      </c>
    </row>
    <row r="160" spans="2:18" x14ac:dyDescent="0.25">
      <c r="C160"/>
      <c r="D160" s="166"/>
      <c r="E160" s="276" t="s">
        <v>207</v>
      </c>
      <c r="F160" s="2"/>
      <c r="G160" s="2"/>
      <c r="H160" s="2"/>
      <c r="I160" s="3"/>
      <c r="J160" s="4"/>
      <c r="K160" s="2"/>
      <c r="L160" s="2"/>
      <c r="M160" s="2"/>
      <c r="N160" s="2"/>
      <c r="O160" s="2"/>
      <c r="P160" s="2"/>
    </row>
    <row r="161" spans="3:16" ht="15.75" x14ac:dyDescent="0.25">
      <c r="C161"/>
      <c r="D161" s="166"/>
      <c r="E161" s="11" t="s">
        <v>208</v>
      </c>
      <c r="F161" s="398">
        <f>+F149-F162</f>
        <v>486.20900000000006</v>
      </c>
      <c r="G161" s="463">
        <f t="shared" ref="G161:P161" si="85">+G149-G162</f>
        <v>492.41600000000005</v>
      </c>
      <c r="H161" s="463">
        <f t="shared" si="85"/>
        <v>480.87799999999993</v>
      </c>
      <c r="I161" s="464">
        <f t="shared" si="85"/>
        <v>480.34699999999998</v>
      </c>
      <c r="J161" s="465">
        <f t="shared" si="85"/>
        <v>503.28899999999987</v>
      </c>
      <c r="K161" s="463">
        <f t="shared" si="85"/>
        <v>547.21</v>
      </c>
      <c r="L161" s="463">
        <f t="shared" si="85"/>
        <v>587.71</v>
      </c>
      <c r="M161" s="463">
        <f t="shared" si="85"/>
        <v>615.71</v>
      </c>
      <c r="N161" s="463">
        <f t="shared" si="85"/>
        <v>618.71</v>
      </c>
      <c r="O161" s="463">
        <f t="shared" si="85"/>
        <v>621.71</v>
      </c>
      <c r="P161" s="463">
        <f t="shared" si="85"/>
        <v>625.71</v>
      </c>
    </row>
    <row r="162" spans="3:16" ht="15.75" x14ac:dyDescent="0.25">
      <c r="C162"/>
      <c r="D162" s="166"/>
      <c r="E162" s="11" t="s">
        <v>19</v>
      </c>
      <c r="F162" s="463">
        <f>+F113</f>
        <v>174</v>
      </c>
      <c r="G162" s="463">
        <f t="shared" ref="G162:P162" si="86">+G113</f>
        <v>150</v>
      </c>
      <c r="H162" s="463">
        <f t="shared" si="86"/>
        <v>179</v>
      </c>
      <c r="I162" s="464">
        <f t="shared" si="86"/>
        <v>209</v>
      </c>
      <c r="J162" s="465">
        <f t="shared" si="86"/>
        <v>141.83769600000002</v>
      </c>
      <c r="K162" s="463">
        <f t="shared" si="86"/>
        <v>147.45916515426495</v>
      </c>
      <c r="L162" s="463">
        <f t="shared" si="86"/>
        <v>170</v>
      </c>
      <c r="M162" s="463">
        <f t="shared" si="86"/>
        <v>200.6</v>
      </c>
      <c r="N162" s="463">
        <f t="shared" si="86"/>
        <v>200.6</v>
      </c>
      <c r="O162" s="463">
        <f t="shared" si="86"/>
        <v>200.6</v>
      </c>
      <c r="P162" s="463">
        <f t="shared" si="86"/>
        <v>200.6</v>
      </c>
    </row>
  </sheetData>
  <mergeCells count="48">
    <mergeCell ref="P84:P85"/>
    <mergeCell ref="B84:B85"/>
    <mergeCell ref="F84:F85"/>
    <mergeCell ref="G84:G85"/>
    <mergeCell ref="H84:H85"/>
    <mergeCell ref="I84:I85"/>
    <mergeCell ref="J84:J85"/>
    <mergeCell ref="K84:K85"/>
    <mergeCell ref="L84:L85"/>
    <mergeCell ref="M84:M85"/>
    <mergeCell ref="N84:N85"/>
    <mergeCell ref="O84:O85"/>
    <mergeCell ref="P51:P52"/>
    <mergeCell ref="B51:B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O51:O52"/>
    <mergeCell ref="B5:B6"/>
    <mergeCell ref="F5:F6"/>
    <mergeCell ref="G5:G6"/>
    <mergeCell ref="H5:H6"/>
    <mergeCell ref="I5:I6"/>
    <mergeCell ref="O5:O6"/>
    <mergeCell ref="P5:P6"/>
    <mergeCell ref="J5:J6"/>
    <mergeCell ref="K5:K6"/>
    <mergeCell ref="L5:L6"/>
    <mergeCell ref="M5:M6"/>
    <mergeCell ref="N5:N6"/>
    <mergeCell ref="B111:B112"/>
    <mergeCell ref="F111:F112"/>
    <mergeCell ref="G111:G112"/>
    <mergeCell ref="H111:H112"/>
    <mergeCell ref="I111:I112"/>
    <mergeCell ref="O111:O112"/>
    <mergeCell ref="P111:P112"/>
    <mergeCell ref="J111:J112"/>
    <mergeCell ref="K111:K112"/>
    <mergeCell ref="L111:L112"/>
    <mergeCell ref="M111:M112"/>
    <mergeCell ref="N111:N112"/>
  </mergeCells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3"/>
  <sheetViews>
    <sheetView workbookViewId="0"/>
  </sheetViews>
  <sheetFormatPr defaultRowHeight="15" x14ac:dyDescent="0.25"/>
  <cols>
    <col min="2" max="2" width="20.42578125" customWidth="1"/>
    <col min="3" max="3" width="15.5703125" customWidth="1"/>
    <col min="4" max="4" width="19.28515625" style="166" customWidth="1"/>
    <col min="5" max="5" width="10.85546875" style="166" customWidth="1"/>
    <col min="18" max="18" width="104.7109375" customWidth="1"/>
  </cols>
  <sheetData>
    <row r="1" spans="2:16" ht="18.75" x14ac:dyDescent="0.3">
      <c r="B1" s="266" t="s">
        <v>557</v>
      </c>
      <c r="H1" s="266" t="s">
        <v>562</v>
      </c>
    </row>
    <row r="4" spans="2:16" ht="18.75" x14ac:dyDescent="0.3">
      <c r="B4" s="266" t="s">
        <v>402</v>
      </c>
    </row>
    <row r="6" spans="2:16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" si="0">+G6+1</f>
        <v>2014</v>
      </c>
      <c r="I6" s="7">
        <f t="shared" ref="I6" si="1">+H6+1</f>
        <v>2015</v>
      </c>
      <c r="J6" s="8">
        <f t="shared" ref="J6" si="2">+I6+1</f>
        <v>2016</v>
      </c>
      <c r="K6" s="6">
        <f t="shared" ref="K6" si="3">+J6+1</f>
        <v>2017</v>
      </c>
      <c r="L6" s="6">
        <f t="shared" ref="L6" si="4">+K6+1</f>
        <v>2018</v>
      </c>
      <c r="M6" s="6">
        <f t="shared" ref="M6" si="5">+L6+1</f>
        <v>2019</v>
      </c>
      <c r="N6" s="6">
        <f t="shared" ref="N6" si="6">+M6+1</f>
        <v>2020</v>
      </c>
      <c r="O6" s="6">
        <f t="shared" ref="O6" si="7">+N6+1</f>
        <v>2021</v>
      </c>
      <c r="P6" s="5">
        <f t="shared" ref="P6" si="8">+O6+1</f>
        <v>2022</v>
      </c>
    </row>
    <row r="7" spans="2:16" ht="15.75" thickBot="1" x14ac:dyDescent="0.3">
      <c r="C7" s="2"/>
      <c r="D7" s="291"/>
      <c r="E7" s="276" t="s">
        <v>207</v>
      </c>
      <c r="F7" s="2"/>
      <c r="G7" s="2"/>
      <c r="H7" s="2"/>
      <c r="I7" s="3"/>
      <c r="J7" s="4"/>
      <c r="K7" s="2"/>
      <c r="L7" s="2"/>
      <c r="M7" s="2"/>
      <c r="N7" s="2"/>
      <c r="O7" s="2"/>
    </row>
    <row r="8" spans="2:16" ht="15.75" x14ac:dyDescent="0.25">
      <c r="B8" s="239" t="s">
        <v>161</v>
      </c>
      <c r="C8" s="237" t="s">
        <v>169</v>
      </c>
      <c r="D8" s="430" t="s">
        <v>199</v>
      </c>
      <c r="E8" s="342" t="s">
        <v>19</v>
      </c>
      <c r="F8" s="242">
        <f>+F62/1000</f>
        <v>0</v>
      </c>
      <c r="G8" s="242">
        <f t="shared" ref="G8:P8" si="9">+G62/1000</f>
        <v>0</v>
      </c>
      <c r="H8" s="242">
        <f t="shared" si="9"/>
        <v>0</v>
      </c>
      <c r="I8" s="243">
        <f t="shared" si="9"/>
        <v>0</v>
      </c>
      <c r="J8" s="520">
        <f t="shared" si="9"/>
        <v>40.200000000000003</v>
      </c>
      <c r="K8" s="242">
        <f t="shared" si="9"/>
        <v>97.5</v>
      </c>
      <c r="L8" s="242">
        <f t="shared" si="9"/>
        <v>116.8</v>
      </c>
      <c r="M8" s="242">
        <f t="shared" si="9"/>
        <v>121.5</v>
      </c>
      <c r="N8" s="242">
        <f t="shared" si="9"/>
        <v>109.35</v>
      </c>
      <c r="O8" s="242">
        <f t="shared" si="9"/>
        <v>81</v>
      </c>
      <c r="P8" s="243">
        <f t="shared" si="9"/>
        <v>81</v>
      </c>
    </row>
    <row r="9" spans="2:16" ht="15.75" x14ac:dyDescent="0.25">
      <c r="B9" s="240" t="s">
        <v>162</v>
      </c>
      <c r="C9" s="34" t="s">
        <v>140</v>
      </c>
      <c r="D9" s="522" t="s">
        <v>198</v>
      </c>
      <c r="E9" s="522" t="s">
        <v>208</v>
      </c>
      <c r="F9" s="175">
        <f t="shared" ref="F9:P9" si="10">+F63/1000</f>
        <v>38.576999999999998</v>
      </c>
      <c r="G9" s="175">
        <f t="shared" si="10"/>
        <v>28.998999999999999</v>
      </c>
      <c r="H9" s="175">
        <f t="shared" si="10"/>
        <v>27.021999999999998</v>
      </c>
      <c r="I9" s="176">
        <f t="shared" si="10"/>
        <v>29.271999999999998</v>
      </c>
      <c r="J9" s="404">
        <f t="shared" si="10"/>
        <v>30</v>
      </c>
      <c r="K9" s="175">
        <f t="shared" si="10"/>
        <v>30</v>
      </c>
      <c r="L9" s="175">
        <f t="shared" si="10"/>
        <v>30</v>
      </c>
      <c r="M9" s="175">
        <f t="shared" si="10"/>
        <v>30</v>
      </c>
      <c r="N9" s="175">
        <f t="shared" si="10"/>
        <v>20</v>
      </c>
      <c r="O9" s="175">
        <f t="shared" si="10"/>
        <v>0</v>
      </c>
      <c r="P9" s="176">
        <f t="shared" si="10"/>
        <v>0</v>
      </c>
    </row>
    <row r="10" spans="2:16" ht="15.75" x14ac:dyDescent="0.25">
      <c r="B10" s="240" t="s">
        <v>163</v>
      </c>
      <c r="C10" s="34" t="s">
        <v>140</v>
      </c>
      <c r="D10" s="522" t="s">
        <v>198</v>
      </c>
      <c r="E10" s="522" t="s">
        <v>19</v>
      </c>
      <c r="F10" s="175">
        <f t="shared" ref="F10:P10" si="11">+F64/1000</f>
        <v>145.34200000000001</v>
      </c>
      <c r="G10" s="175">
        <f t="shared" si="11"/>
        <v>124.92400000000001</v>
      </c>
      <c r="H10" s="175">
        <f t="shared" si="11"/>
        <v>102.188</v>
      </c>
      <c r="I10" s="176">
        <f t="shared" si="11"/>
        <v>82.028999999999996</v>
      </c>
      <c r="J10" s="404">
        <f t="shared" si="11"/>
        <v>90</v>
      </c>
      <c r="K10" s="175">
        <f t="shared" si="11"/>
        <v>109</v>
      </c>
      <c r="L10" s="175">
        <f t="shared" si="11"/>
        <v>109</v>
      </c>
      <c r="M10" s="175">
        <f t="shared" si="11"/>
        <v>109</v>
      </c>
      <c r="N10" s="175">
        <f t="shared" si="11"/>
        <v>100</v>
      </c>
      <c r="O10" s="175">
        <f t="shared" si="11"/>
        <v>0</v>
      </c>
      <c r="P10" s="176">
        <f t="shared" si="11"/>
        <v>0</v>
      </c>
    </row>
    <row r="11" spans="2:16" ht="15.75" x14ac:dyDescent="0.25">
      <c r="B11" s="240" t="s">
        <v>164</v>
      </c>
      <c r="C11" s="34" t="s">
        <v>140</v>
      </c>
      <c r="D11" s="522" t="s">
        <v>272</v>
      </c>
      <c r="E11" s="522" t="s">
        <v>19</v>
      </c>
      <c r="F11" s="175">
        <f t="shared" ref="F11:P11" si="12">+F65/1000</f>
        <v>0</v>
      </c>
      <c r="G11" s="175">
        <f t="shared" si="12"/>
        <v>0</v>
      </c>
      <c r="H11" s="175">
        <f t="shared" si="12"/>
        <v>0</v>
      </c>
      <c r="I11" s="176">
        <f t="shared" si="12"/>
        <v>0</v>
      </c>
      <c r="J11" s="404">
        <f t="shared" si="12"/>
        <v>0</v>
      </c>
      <c r="K11" s="175">
        <f t="shared" si="12"/>
        <v>0</v>
      </c>
      <c r="L11" s="175">
        <f t="shared" si="12"/>
        <v>0</v>
      </c>
      <c r="M11" s="175">
        <f t="shared" si="12"/>
        <v>100</v>
      </c>
      <c r="N11" s="175">
        <f t="shared" si="12"/>
        <v>180</v>
      </c>
      <c r="O11" s="175">
        <f t="shared" si="12"/>
        <v>250</v>
      </c>
      <c r="P11" s="176">
        <f t="shared" si="12"/>
        <v>250</v>
      </c>
    </row>
    <row r="12" spans="2:16" ht="15.75" x14ac:dyDescent="0.25">
      <c r="B12" s="240" t="s">
        <v>165</v>
      </c>
      <c r="C12" s="34" t="s">
        <v>82</v>
      </c>
      <c r="D12" s="522" t="s">
        <v>199</v>
      </c>
      <c r="E12" s="522" t="s">
        <v>208</v>
      </c>
      <c r="F12" s="175">
        <f t="shared" ref="F12:P12" si="13">+F66/1000</f>
        <v>52</v>
      </c>
      <c r="G12" s="175">
        <f t="shared" si="13"/>
        <v>52</v>
      </c>
      <c r="H12" s="175">
        <f t="shared" si="13"/>
        <v>54</v>
      </c>
      <c r="I12" s="176">
        <f t="shared" si="13"/>
        <v>55.5</v>
      </c>
      <c r="J12" s="404">
        <f t="shared" si="13"/>
        <v>55</v>
      </c>
      <c r="K12" s="175">
        <f t="shared" si="13"/>
        <v>55</v>
      </c>
      <c r="L12" s="175">
        <f t="shared" si="13"/>
        <v>55</v>
      </c>
      <c r="M12" s="175">
        <f t="shared" si="13"/>
        <v>55</v>
      </c>
      <c r="N12" s="175">
        <f t="shared" si="13"/>
        <v>55</v>
      </c>
      <c r="O12" s="175">
        <f t="shared" si="13"/>
        <v>55</v>
      </c>
      <c r="P12" s="176">
        <f t="shared" si="13"/>
        <v>55</v>
      </c>
    </row>
    <row r="13" spans="2:16" ht="15.75" x14ac:dyDescent="0.25">
      <c r="B13" s="240" t="s">
        <v>166</v>
      </c>
      <c r="C13" s="34" t="s">
        <v>82</v>
      </c>
      <c r="D13" s="522" t="s">
        <v>199</v>
      </c>
      <c r="E13" s="522" t="s">
        <v>208</v>
      </c>
      <c r="F13" s="175">
        <f t="shared" ref="F13:P13" si="14">+F67/1000</f>
        <v>0</v>
      </c>
      <c r="G13" s="175">
        <f t="shared" si="14"/>
        <v>33.299999999999997</v>
      </c>
      <c r="H13" s="175">
        <f t="shared" si="14"/>
        <v>63.4</v>
      </c>
      <c r="I13" s="176">
        <f t="shared" si="14"/>
        <v>86</v>
      </c>
      <c r="J13" s="404">
        <f t="shared" si="14"/>
        <v>83</v>
      </c>
      <c r="K13" s="175">
        <f t="shared" si="14"/>
        <v>80</v>
      </c>
      <c r="L13" s="175">
        <f t="shared" si="14"/>
        <v>75</v>
      </c>
      <c r="M13" s="175">
        <f t="shared" si="14"/>
        <v>75</v>
      </c>
      <c r="N13" s="175">
        <f t="shared" si="14"/>
        <v>75</v>
      </c>
      <c r="O13" s="175">
        <f t="shared" si="14"/>
        <v>70</v>
      </c>
      <c r="P13" s="176">
        <f t="shared" si="14"/>
        <v>65</v>
      </c>
    </row>
    <row r="14" spans="2:16" ht="15.75" x14ac:dyDescent="0.25">
      <c r="B14" s="240" t="s">
        <v>167</v>
      </c>
      <c r="C14" s="34" t="s">
        <v>405</v>
      </c>
      <c r="D14" s="522" t="s">
        <v>199</v>
      </c>
      <c r="E14" s="522" t="s">
        <v>208</v>
      </c>
      <c r="F14" s="175">
        <f t="shared" ref="F14:P14" si="15">+F68/1000</f>
        <v>47.6</v>
      </c>
      <c r="G14" s="175">
        <f t="shared" si="15"/>
        <v>44.2</v>
      </c>
      <c r="H14" s="175">
        <f t="shared" si="15"/>
        <v>45.411999999999999</v>
      </c>
      <c r="I14" s="176">
        <f t="shared" si="15"/>
        <v>45</v>
      </c>
      <c r="J14" s="404">
        <f t="shared" si="15"/>
        <v>45</v>
      </c>
      <c r="K14" s="175">
        <f t="shared" si="15"/>
        <v>45</v>
      </c>
      <c r="L14" s="175">
        <f t="shared" si="15"/>
        <v>45</v>
      </c>
      <c r="M14" s="175">
        <f t="shared" si="15"/>
        <v>45</v>
      </c>
      <c r="N14" s="175">
        <f t="shared" si="15"/>
        <v>45</v>
      </c>
      <c r="O14" s="175">
        <f t="shared" si="15"/>
        <v>45</v>
      </c>
      <c r="P14" s="176">
        <f t="shared" si="15"/>
        <v>45</v>
      </c>
    </row>
    <row r="15" spans="2:16" ht="15.75" x14ac:dyDescent="0.25">
      <c r="B15" s="240" t="s">
        <v>168</v>
      </c>
      <c r="C15" s="34" t="s">
        <v>170</v>
      </c>
      <c r="D15" s="522" t="s">
        <v>403</v>
      </c>
      <c r="E15" s="522" t="s">
        <v>208</v>
      </c>
      <c r="F15" s="175">
        <f t="shared" ref="F15:P15" si="16">+F69/1000</f>
        <v>0</v>
      </c>
      <c r="G15" s="175">
        <f t="shared" si="16"/>
        <v>0</v>
      </c>
      <c r="H15" s="175">
        <f t="shared" si="16"/>
        <v>0</v>
      </c>
      <c r="I15" s="176">
        <f t="shared" si="16"/>
        <v>0</v>
      </c>
      <c r="J15" s="404">
        <f t="shared" si="16"/>
        <v>0</v>
      </c>
      <c r="K15" s="175">
        <f t="shared" si="16"/>
        <v>0</v>
      </c>
      <c r="L15" s="175">
        <f t="shared" si="16"/>
        <v>0</v>
      </c>
      <c r="M15" s="175">
        <f t="shared" si="16"/>
        <v>60</v>
      </c>
      <c r="N15" s="175">
        <f t="shared" si="16"/>
        <v>180</v>
      </c>
      <c r="O15" s="175">
        <f t="shared" si="16"/>
        <v>240</v>
      </c>
      <c r="P15" s="176">
        <f t="shared" si="16"/>
        <v>240</v>
      </c>
    </row>
    <row r="16" spans="2:16" ht="16.5" thickBot="1" x14ac:dyDescent="0.3">
      <c r="B16" s="241" t="s">
        <v>48</v>
      </c>
      <c r="C16" s="28"/>
      <c r="D16" s="291" t="s">
        <v>199</v>
      </c>
      <c r="E16" s="291"/>
      <c r="F16" s="192">
        <f t="shared" ref="F16:P16" si="17">+F70/1000</f>
        <v>26.5</v>
      </c>
      <c r="G16" s="192">
        <f t="shared" si="17"/>
        <v>20.757000000000001</v>
      </c>
      <c r="H16" s="192">
        <f t="shared" si="17"/>
        <v>20.768999999999998</v>
      </c>
      <c r="I16" s="193">
        <f t="shared" si="17"/>
        <v>25</v>
      </c>
      <c r="J16" s="450">
        <f t="shared" si="17"/>
        <v>25</v>
      </c>
      <c r="K16" s="192">
        <f t="shared" si="17"/>
        <v>25</v>
      </c>
      <c r="L16" s="192">
        <f t="shared" si="17"/>
        <v>25</v>
      </c>
      <c r="M16" s="192">
        <f t="shared" si="17"/>
        <v>25</v>
      </c>
      <c r="N16" s="192">
        <f t="shared" si="17"/>
        <v>25</v>
      </c>
      <c r="O16" s="192">
        <f t="shared" si="17"/>
        <v>25</v>
      </c>
      <c r="P16" s="193">
        <f t="shared" si="17"/>
        <v>25</v>
      </c>
    </row>
    <row r="17" spans="2:20" ht="15.75" x14ac:dyDescent="0.25">
      <c r="C17" s="238"/>
      <c r="D17" s="342"/>
      <c r="E17" s="342"/>
      <c r="F17" s="244">
        <f>SUM(F8:F16)</f>
        <v>310.01900000000001</v>
      </c>
      <c r="G17" s="244">
        <f t="shared" ref="G17:P17" si="18">SUM(G8:G16)</f>
        <v>304.18</v>
      </c>
      <c r="H17" s="244">
        <f t="shared" si="18"/>
        <v>312.791</v>
      </c>
      <c r="I17" s="254">
        <f t="shared" si="18"/>
        <v>322.80099999999999</v>
      </c>
      <c r="J17" s="255">
        <f t="shared" si="18"/>
        <v>368.2</v>
      </c>
      <c r="K17" s="244">
        <f t="shared" si="18"/>
        <v>441.5</v>
      </c>
      <c r="L17" s="244">
        <f t="shared" si="18"/>
        <v>455.8</v>
      </c>
      <c r="M17" s="244">
        <f t="shared" si="18"/>
        <v>620.5</v>
      </c>
      <c r="N17" s="244">
        <f t="shared" si="18"/>
        <v>789.35</v>
      </c>
      <c r="O17" s="244">
        <f t="shared" si="18"/>
        <v>766</v>
      </c>
      <c r="P17" s="245">
        <f t="shared" si="18"/>
        <v>761</v>
      </c>
    </row>
    <row r="22" spans="2:20" ht="18.75" x14ac:dyDescent="0.3">
      <c r="B22" s="266" t="s">
        <v>210</v>
      </c>
      <c r="R22" s="280" t="s">
        <v>214</v>
      </c>
    </row>
    <row r="24" spans="2:20" ht="15.75" x14ac:dyDescent="0.25">
      <c r="B24" s="5" t="s">
        <v>0</v>
      </c>
      <c r="C24" s="6" t="s">
        <v>1</v>
      </c>
      <c r="D24" s="6" t="s">
        <v>2</v>
      </c>
      <c r="E24" s="6" t="s">
        <v>206</v>
      </c>
      <c r="F24" s="6">
        <v>2012</v>
      </c>
      <c r="G24" s="6">
        <f>+F24+1</f>
        <v>2013</v>
      </c>
      <c r="H24" s="6">
        <f t="shared" ref="H24" si="19">+G24+1</f>
        <v>2014</v>
      </c>
      <c r="I24" s="7">
        <f t="shared" ref="I24" si="20">+H24+1</f>
        <v>2015</v>
      </c>
      <c r="J24" s="8">
        <f t="shared" ref="J24" si="21">+I24+1</f>
        <v>2016</v>
      </c>
      <c r="K24" s="6">
        <f t="shared" ref="K24" si="22">+J24+1</f>
        <v>2017</v>
      </c>
      <c r="L24" s="6">
        <f t="shared" ref="L24" si="23">+K24+1</f>
        <v>2018</v>
      </c>
      <c r="M24" s="6">
        <f t="shared" ref="M24" si="24">+L24+1</f>
        <v>2019</v>
      </c>
      <c r="N24" s="6">
        <f t="shared" ref="N24" si="25">+M24+1</f>
        <v>2020</v>
      </c>
      <c r="O24" s="6">
        <f t="shared" ref="O24" si="26">+N24+1</f>
        <v>2021</v>
      </c>
      <c r="P24" s="5">
        <f t="shared" ref="P24" si="27">+O24+1</f>
        <v>2022</v>
      </c>
    </row>
    <row r="25" spans="2:20" ht="15.75" thickBot="1" x14ac:dyDescent="0.3">
      <c r="C25" s="2"/>
      <c r="D25" s="291"/>
      <c r="E25" s="276" t="s">
        <v>207</v>
      </c>
      <c r="F25" s="2"/>
      <c r="G25" s="2"/>
      <c r="H25" s="2"/>
      <c r="I25" s="3"/>
      <c r="J25" s="4"/>
      <c r="K25" s="2"/>
      <c r="L25" s="2"/>
      <c r="M25" s="2"/>
      <c r="N25" s="2"/>
      <c r="O25" s="2"/>
    </row>
    <row r="26" spans="2:20" ht="15.75" x14ac:dyDescent="0.25">
      <c r="B26" s="239" t="s">
        <v>161</v>
      </c>
      <c r="C26" s="237" t="s">
        <v>169</v>
      </c>
      <c r="D26" s="430" t="s">
        <v>199</v>
      </c>
      <c r="E26" s="342" t="s">
        <v>19</v>
      </c>
      <c r="F26" s="242">
        <f>+F8</f>
        <v>0</v>
      </c>
      <c r="G26" s="242">
        <f t="shared" ref="G26:P26" si="28">+G8</f>
        <v>0</v>
      </c>
      <c r="H26" s="242">
        <f t="shared" si="28"/>
        <v>0</v>
      </c>
      <c r="I26" s="243">
        <f t="shared" si="28"/>
        <v>0</v>
      </c>
      <c r="J26" s="521">
        <v>40.9</v>
      </c>
      <c r="K26" s="550">
        <f>215/(2.2)</f>
        <v>97.72727272727272</v>
      </c>
      <c r="L26" s="242">
        <f t="shared" si="28"/>
        <v>116.8</v>
      </c>
      <c r="M26" s="242">
        <f t="shared" si="28"/>
        <v>121.5</v>
      </c>
      <c r="N26" s="242">
        <f t="shared" si="28"/>
        <v>109.35</v>
      </c>
      <c r="O26" s="242">
        <f t="shared" si="28"/>
        <v>81</v>
      </c>
      <c r="P26" s="243">
        <f t="shared" si="28"/>
        <v>81</v>
      </c>
      <c r="R26" t="s">
        <v>408</v>
      </c>
    </row>
    <row r="27" spans="2:20" ht="15.75" x14ac:dyDescent="0.25">
      <c r="B27" s="240" t="s">
        <v>162</v>
      </c>
      <c r="C27" s="34" t="s">
        <v>140</v>
      </c>
      <c r="D27" s="522" t="s">
        <v>198</v>
      </c>
      <c r="E27" s="522" t="s">
        <v>208</v>
      </c>
      <c r="F27" s="175">
        <f t="shared" ref="F27:P27" si="29">+F9</f>
        <v>38.576999999999998</v>
      </c>
      <c r="G27" s="175">
        <f t="shared" si="29"/>
        <v>28.998999999999999</v>
      </c>
      <c r="H27" s="175">
        <f t="shared" si="29"/>
        <v>27.021999999999998</v>
      </c>
      <c r="I27" s="176">
        <f t="shared" si="29"/>
        <v>29.271999999999998</v>
      </c>
      <c r="J27" s="404">
        <f t="shared" si="29"/>
        <v>30</v>
      </c>
      <c r="K27" s="175">
        <f t="shared" si="29"/>
        <v>30</v>
      </c>
      <c r="L27" s="175">
        <f t="shared" si="29"/>
        <v>30</v>
      </c>
      <c r="M27" s="175">
        <f t="shared" si="29"/>
        <v>30</v>
      </c>
      <c r="N27" s="175">
        <f t="shared" si="29"/>
        <v>20</v>
      </c>
      <c r="O27" s="175">
        <f t="shared" si="29"/>
        <v>0</v>
      </c>
      <c r="P27" s="176">
        <f t="shared" si="29"/>
        <v>0</v>
      </c>
      <c r="R27" t="s">
        <v>409</v>
      </c>
    </row>
    <row r="28" spans="2:20" ht="15.75" x14ac:dyDescent="0.25">
      <c r="B28" s="240" t="s">
        <v>163</v>
      </c>
      <c r="C28" s="34" t="s">
        <v>140</v>
      </c>
      <c r="D28" s="522" t="s">
        <v>198</v>
      </c>
      <c r="E28" s="522" t="s">
        <v>19</v>
      </c>
      <c r="F28" s="175">
        <f t="shared" ref="F28:P28" si="30">+F10</f>
        <v>145.34200000000001</v>
      </c>
      <c r="G28" s="175">
        <f t="shared" si="30"/>
        <v>124.92400000000001</v>
      </c>
      <c r="H28" s="175">
        <f t="shared" si="30"/>
        <v>102.188</v>
      </c>
      <c r="I28" s="176">
        <f t="shared" si="30"/>
        <v>82.028999999999996</v>
      </c>
      <c r="J28" s="404">
        <f t="shared" si="30"/>
        <v>90</v>
      </c>
      <c r="K28" s="175">
        <f t="shared" si="30"/>
        <v>109</v>
      </c>
      <c r="L28" s="175">
        <f t="shared" si="30"/>
        <v>109</v>
      </c>
      <c r="M28" s="175">
        <f t="shared" si="30"/>
        <v>109</v>
      </c>
      <c r="N28" s="175">
        <f t="shared" si="30"/>
        <v>100</v>
      </c>
      <c r="O28" s="175">
        <f t="shared" si="30"/>
        <v>0</v>
      </c>
      <c r="P28" s="176">
        <f t="shared" si="30"/>
        <v>0</v>
      </c>
      <c r="R28" t="s">
        <v>407</v>
      </c>
    </row>
    <row r="29" spans="2:20" ht="15.75" x14ac:dyDescent="0.25">
      <c r="B29" s="240" t="s">
        <v>164</v>
      </c>
      <c r="C29" s="34" t="s">
        <v>140</v>
      </c>
      <c r="D29" s="522" t="s">
        <v>272</v>
      </c>
      <c r="E29" s="522" t="s">
        <v>19</v>
      </c>
      <c r="F29" s="175">
        <f t="shared" ref="F29:P29" si="31">+F11</f>
        <v>0</v>
      </c>
      <c r="G29" s="175">
        <f t="shared" si="31"/>
        <v>0</v>
      </c>
      <c r="H29" s="175">
        <f t="shared" si="31"/>
        <v>0</v>
      </c>
      <c r="I29" s="176">
        <f t="shared" si="31"/>
        <v>0</v>
      </c>
      <c r="J29" s="404">
        <f t="shared" si="31"/>
        <v>0</v>
      </c>
      <c r="K29" s="175">
        <f t="shared" si="31"/>
        <v>0</v>
      </c>
      <c r="L29" s="175">
        <f t="shared" si="31"/>
        <v>0</v>
      </c>
      <c r="M29" s="175">
        <f t="shared" si="31"/>
        <v>100</v>
      </c>
      <c r="N29" s="175">
        <f t="shared" si="31"/>
        <v>180</v>
      </c>
      <c r="O29" s="175">
        <f t="shared" si="31"/>
        <v>250</v>
      </c>
      <c r="P29" s="176">
        <f t="shared" si="31"/>
        <v>250</v>
      </c>
      <c r="R29" t="s">
        <v>411</v>
      </c>
    </row>
    <row r="30" spans="2:20" ht="15.75" x14ac:dyDescent="0.25">
      <c r="B30" s="240" t="s">
        <v>165</v>
      </c>
      <c r="C30" s="523" t="s">
        <v>188</v>
      </c>
      <c r="D30" s="522" t="s">
        <v>199</v>
      </c>
      <c r="E30" s="522" t="s">
        <v>208</v>
      </c>
      <c r="F30" s="175">
        <f t="shared" ref="F30:P30" si="32">+F12</f>
        <v>52</v>
      </c>
      <c r="G30" s="175">
        <f t="shared" si="32"/>
        <v>52</v>
      </c>
      <c r="H30" s="175">
        <f t="shared" si="32"/>
        <v>54</v>
      </c>
      <c r="I30" s="176">
        <f t="shared" si="32"/>
        <v>55.5</v>
      </c>
      <c r="J30" s="524">
        <v>42</v>
      </c>
      <c r="K30" s="175">
        <f t="shared" si="32"/>
        <v>55</v>
      </c>
      <c r="L30" s="175">
        <f t="shared" si="32"/>
        <v>55</v>
      </c>
      <c r="M30" s="175">
        <f t="shared" si="32"/>
        <v>55</v>
      </c>
      <c r="N30" s="175">
        <f t="shared" si="32"/>
        <v>55</v>
      </c>
      <c r="O30" s="175">
        <f t="shared" si="32"/>
        <v>55</v>
      </c>
      <c r="P30" s="176">
        <f t="shared" si="32"/>
        <v>55</v>
      </c>
      <c r="R30" t="s">
        <v>410</v>
      </c>
    </row>
    <row r="31" spans="2:20" ht="15.75" x14ac:dyDescent="0.25">
      <c r="B31" s="240" t="s">
        <v>166</v>
      </c>
      <c r="C31" s="523" t="s">
        <v>188</v>
      </c>
      <c r="D31" s="522" t="s">
        <v>199</v>
      </c>
      <c r="E31" s="522" t="s">
        <v>208</v>
      </c>
      <c r="F31" s="175">
        <f t="shared" ref="F31:P31" si="33">+F13</f>
        <v>0</v>
      </c>
      <c r="G31" s="175">
        <f t="shared" si="33"/>
        <v>33.299999999999997</v>
      </c>
      <c r="H31" s="175">
        <f t="shared" si="33"/>
        <v>63.4</v>
      </c>
      <c r="I31" s="176">
        <f t="shared" si="33"/>
        <v>86</v>
      </c>
      <c r="J31" s="524">
        <v>73.7</v>
      </c>
      <c r="K31" s="175">
        <f t="shared" si="33"/>
        <v>80</v>
      </c>
      <c r="L31" s="175">
        <f t="shared" si="33"/>
        <v>75</v>
      </c>
      <c r="M31" s="175">
        <f t="shared" si="33"/>
        <v>75</v>
      </c>
      <c r="N31" s="175">
        <f t="shared" si="33"/>
        <v>75</v>
      </c>
      <c r="O31" s="175">
        <f t="shared" si="33"/>
        <v>70</v>
      </c>
      <c r="P31" s="176">
        <f t="shared" si="33"/>
        <v>65</v>
      </c>
      <c r="R31" t="s">
        <v>404</v>
      </c>
      <c r="T31">
        <f>530000*0.152*0.915</f>
        <v>73712.400000000009</v>
      </c>
    </row>
    <row r="32" spans="2:20" ht="15.75" x14ac:dyDescent="0.25">
      <c r="B32" s="240" t="s">
        <v>167</v>
      </c>
      <c r="C32" s="34" t="s">
        <v>405</v>
      </c>
      <c r="D32" s="522" t="s">
        <v>199</v>
      </c>
      <c r="E32" s="522" t="s">
        <v>208</v>
      </c>
      <c r="F32" s="175">
        <f t="shared" ref="F32:P32" si="34">+F14</f>
        <v>47.6</v>
      </c>
      <c r="G32" s="175">
        <f t="shared" si="34"/>
        <v>44.2</v>
      </c>
      <c r="H32" s="175">
        <f t="shared" si="34"/>
        <v>45.411999999999999</v>
      </c>
      <c r="I32" s="176">
        <f t="shared" si="34"/>
        <v>45</v>
      </c>
      <c r="J32" s="404">
        <f t="shared" si="34"/>
        <v>45</v>
      </c>
      <c r="K32" s="175">
        <f t="shared" si="34"/>
        <v>45</v>
      </c>
      <c r="L32" s="175">
        <f t="shared" si="34"/>
        <v>45</v>
      </c>
      <c r="M32" s="175">
        <f t="shared" si="34"/>
        <v>45</v>
      </c>
      <c r="N32" s="175">
        <f t="shared" si="34"/>
        <v>45</v>
      </c>
      <c r="O32" s="175">
        <f t="shared" si="34"/>
        <v>45</v>
      </c>
      <c r="P32" s="176">
        <f t="shared" si="34"/>
        <v>45</v>
      </c>
    </row>
    <row r="33" spans="2:18" ht="15.75" x14ac:dyDescent="0.25">
      <c r="B33" s="240" t="s">
        <v>168</v>
      </c>
      <c r="C33" s="34" t="s">
        <v>170</v>
      </c>
      <c r="D33" s="522" t="s">
        <v>403</v>
      </c>
      <c r="E33" s="522" t="s">
        <v>208</v>
      </c>
      <c r="F33" s="175">
        <f t="shared" ref="F33:P33" si="35">+F15</f>
        <v>0</v>
      </c>
      <c r="G33" s="175">
        <f t="shared" si="35"/>
        <v>0</v>
      </c>
      <c r="H33" s="175">
        <f t="shared" si="35"/>
        <v>0</v>
      </c>
      <c r="I33" s="176">
        <f t="shared" si="35"/>
        <v>0</v>
      </c>
      <c r="J33" s="404">
        <f t="shared" si="35"/>
        <v>0</v>
      </c>
      <c r="K33" s="175">
        <f t="shared" si="35"/>
        <v>0</v>
      </c>
      <c r="L33" s="175">
        <f t="shared" si="35"/>
        <v>0</v>
      </c>
      <c r="M33" s="175">
        <f t="shared" si="35"/>
        <v>60</v>
      </c>
      <c r="N33" s="175">
        <f t="shared" si="35"/>
        <v>180</v>
      </c>
      <c r="O33" s="175">
        <f t="shared" si="35"/>
        <v>240</v>
      </c>
      <c r="P33" s="176">
        <f t="shared" si="35"/>
        <v>240</v>
      </c>
      <c r="Q33" s="527"/>
      <c r="R33" s="525" t="s">
        <v>406</v>
      </c>
    </row>
    <row r="34" spans="2:18" ht="16.5" thickBot="1" x14ac:dyDescent="0.3">
      <c r="B34" s="241" t="s">
        <v>48</v>
      </c>
      <c r="C34" s="28"/>
      <c r="D34" s="291" t="s">
        <v>199</v>
      </c>
      <c r="E34" s="291"/>
      <c r="F34" s="192">
        <f t="shared" ref="F34:P34" si="36">+F16</f>
        <v>26.5</v>
      </c>
      <c r="G34" s="192">
        <f t="shared" si="36"/>
        <v>20.757000000000001</v>
      </c>
      <c r="H34" s="192">
        <f t="shared" si="36"/>
        <v>20.768999999999998</v>
      </c>
      <c r="I34" s="193">
        <f t="shared" si="36"/>
        <v>25</v>
      </c>
      <c r="J34" s="450">
        <f t="shared" si="36"/>
        <v>25</v>
      </c>
      <c r="K34" s="192">
        <f t="shared" si="36"/>
        <v>25</v>
      </c>
      <c r="L34" s="192">
        <f t="shared" si="36"/>
        <v>25</v>
      </c>
      <c r="M34" s="192">
        <f t="shared" si="36"/>
        <v>25</v>
      </c>
      <c r="N34" s="192">
        <f t="shared" si="36"/>
        <v>25</v>
      </c>
      <c r="O34" s="192">
        <f t="shared" si="36"/>
        <v>25</v>
      </c>
      <c r="P34" s="193">
        <f t="shared" si="36"/>
        <v>25</v>
      </c>
      <c r="Q34" s="525"/>
      <c r="R34" s="526" t="s">
        <v>417</v>
      </c>
    </row>
    <row r="35" spans="2:18" ht="15.75" x14ac:dyDescent="0.25">
      <c r="C35" s="238"/>
      <c r="D35" s="342"/>
      <c r="E35" s="342"/>
      <c r="F35" s="244">
        <f>SUM(F26:F34)</f>
        <v>310.01900000000001</v>
      </c>
      <c r="G35" s="244">
        <f t="shared" ref="G35" si="37">SUM(G26:G34)</f>
        <v>304.18</v>
      </c>
      <c r="H35" s="244">
        <f t="shared" ref="H35" si="38">SUM(H26:H34)</f>
        <v>312.791</v>
      </c>
      <c r="I35" s="254">
        <f t="shared" ref="I35" si="39">SUM(I26:I34)</f>
        <v>322.80099999999999</v>
      </c>
      <c r="J35" s="255">
        <f t="shared" ref="J35" si="40">SUM(J26:J34)</f>
        <v>346.6</v>
      </c>
      <c r="K35" s="244">
        <f t="shared" ref="K35" si="41">SUM(K26:K34)</f>
        <v>441.72727272727275</v>
      </c>
      <c r="L35" s="244">
        <f t="shared" ref="L35" si="42">SUM(L26:L34)</f>
        <v>455.8</v>
      </c>
      <c r="M35" s="244">
        <f t="shared" ref="M35" si="43">SUM(M26:M34)</f>
        <v>620.5</v>
      </c>
      <c r="N35" s="244">
        <f t="shared" ref="N35" si="44">SUM(N26:N34)</f>
        <v>789.35</v>
      </c>
      <c r="O35" s="244">
        <f t="shared" ref="O35" si="45">SUM(O26:O34)</f>
        <v>766</v>
      </c>
      <c r="P35" s="245">
        <f t="shared" ref="P35" si="46">SUM(P26:P34)</f>
        <v>761</v>
      </c>
    </row>
    <row r="38" spans="2:18" ht="18.75" x14ac:dyDescent="0.3">
      <c r="B38" s="280" t="s">
        <v>211</v>
      </c>
    </row>
    <row r="40" spans="2:18" ht="15.75" x14ac:dyDescent="0.25">
      <c r="B40" t="s">
        <v>212</v>
      </c>
      <c r="C40" s="296">
        <v>51.6</v>
      </c>
      <c r="E40" s="11" t="s">
        <v>209</v>
      </c>
      <c r="F40" t="s">
        <v>249</v>
      </c>
    </row>
    <row r="41" spans="2:18" ht="15.75" x14ac:dyDescent="0.25">
      <c r="B41" t="s">
        <v>213</v>
      </c>
      <c r="C41" s="297">
        <v>49</v>
      </c>
      <c r="E41" s="11" t="s">
        <v>201</v>
      </c>
      <c r="F41" t="s">
        <v>292</v>
      </c>
    </row>
    <row r="42" spans="2:18" ht="15.75" x14ac:dyDescent="0.25">
      <c r="B42" t="s">
        <v>302</v>
      </c>
      <c r="C42" s="298">
        <v>36</v>
      </c>
    </row>
    <row r="44" spans="2:18" ht="15.75" x14ac:dyDescent="0.25">
      <c r="E44" s="6" t="s">
        <v>206</v>
      </c>
      <c r="F44" s="6">
        <v>2012</v>
      </c>
      <c r="G44" s="6">
        <f>+F44+1</f>
        <v>2013</v>
      </c>
      <c r="H44" s="6">
        <f t="shared" ref="H44:P44" si="47">+G44+1</f>
        <v>2014</v>
      </c>
      <c r="I44" s="7">
        <f t="shared" si="47"/>
        <v>2015</v>
      </c>
      <c r="J44" s="8">
        <f t="shared" si="47"/>
        <v>2016</v>
      </c>
      <c r="K44" s="6">
        <f t="shared" si="47"/>
        <v>2017</v>
      </c>
      <c r="L44" s="6">
        <f t="shared" si="47"/>
        <v>2018</v>
      </c>
      <c r="M44" s="6">
        <f t="shared" si="47"/>
        <v>2019</v>
      </c>
      <c r="N44" s="6">
        <f t="shared" si="47"/>
        <v>2020</v>
      </c>
      <c r="O44" s="6">
        <f t="shared" si="47"/>
        <v>2021</v>
      </c>
      <c r="P44" s="6">
        <f t="shared" si="47"/>
        <v>2022</v>
      </c>
    </row>
    <row r="45" spans="2:18" x14ac:dyDescent="0.25">
      <c r="E45" s="276" t="s">
        <v>207</v>
      </c>
      <c r="F45" s="2"/>
      <c r="G45" s="2"/>
      <c r="H45" s="2"/>
      <c r="I45" s="3"/>
      <c r="J45" s="4"/>
      <c r="K45" s="2"/>
      <c r="L45" s="2"/>
      <c r="M45" s="2"/>
      <c r="N45" s="2"/>
      <c r="O45" s="2"/>
      <c r="P45" s="2"/>
    </row>
    <row r="46" spans="2:18" ht="15.75" x14ac:dyDescent="0.25">
      <c r="E46" s="11" t="s">
        <v>208</v>
      </c>
      <c r="F46" s="398">
        <f>+F35-F47</f>
        <v>164.67699999999999</v>
      </c>
      <c r="G46" s="463">
        <f t="shared" ref="G46:P46" si="48">+G35-G47</f>
        <v>179.256</v>
      </c>
      <c r="H46" s="463">
        <f t="shared" si="48"/>
        <v>210.60300000000001</v>
      </c>
      <c r="I46" s="464">
        <f t="shared" si="48"/>
        <v>240.77199999999999</v>
      </c>
      <c r="J46" s="465">
        <f t="shared" si="48"/>
        <v>215.70000000000002</v>
      </c>
      <c r="K46" s="463">
        <f t="shared" si="48"/>
        <v>235.00000000000003</v>
      </c>
      <c r="L46" s="463">
        <f t="shared" si="48"/>
        <v>230</v>
      </c>
      <c r="M46" s="463">
        <f t="shared" si="48"/>
        <v>290</v>
      </c>
      <c r="N46" s="463">
        <f t="shared" si="48"/>
        <v>400</v>
      </c>
      <c r="O46" s="463">
        <f t="shared" si="48"/>
        <v>435</v>
      </c>
      <c r="P46" s="463">
        <f t="shared" si="48"/>
        <v>430</v>
      </c>
    </row>
    <row r="47" spans="2:18" ht="15.75" x14ac:dyDescent="0.25">
      <c r="E47" s="11" t="s">
        <v>19</v>
      </c>
      <c r="F47" s="463">
        <f>+F29+F28+F26</f>
        <v>145.34200000000001</v>
      </c>
      <c r="G47" s="463">
        <f t="shared" ref="G47:P47" si="49">+G29+G28+G26</f>
        <v>124.92400000000001</v>
      </c>
      <c r="H47" s="463">
        <f t="shared" si="49"/>
        <v>102.188</v>
      </c>
      <c r="I47" s="464">
        <f t="shared" si="49"/>
        <v>82.028999999999996</v>
      </c>
      <c r="J47" s="465">
        <f t="shared" si="49"/>
        <v>130.9</v>
      </c>
      <c r="K47" s="463">
        <f t="shared" si="49"/>
        <v>206.72727272727272</v>
      </c>
      <c r="L47" s="463">
        <f t="shared" si="49"/>
        <v>225.8</v>
      </c>
      <c r="M47" s="463">
        <f t="shared" si="49"/>
        <v>330.5</v>
      </c>
      <c r="N47" s="463">
        <f t="shared" si="49"/>
        <v>389.35</v>
      </c>
      <c r="O47" s="463">
        <f t="shared" si="49"/>
        <v>331</v>
      </c>
      <c r="P47" s="463">
        <f t="shared" si="49"/>
        <v>331</v>
      </c>
    </row>
    <row r="58" spans="2:16" hidden="1" x14ac:dyDescent="0.25"/>
    <row r="59" spans="2:16" hidden="1" x14ac:dyDescent="0.25"/>
    <row r="60" spans="2:16" ht="15.75" hidden="1" x14ac:dyDescent="0.25">
      <c r="B60" s="5" t="s">
        <v>0</v>
      </c>
      <c r="C60" s="6" t="s">
        <v>1</v>
      </c>
      <c r="D60" s="6" t="s">
        <v>2</v>
      </c>
      <c r="E60" s="6"/>
      <c r="F60" s="6">
        <v>2012</v>
      </c>
      <c r="G60" s="6">
        <f>+F60+1</f>
        <v>2013</v>
      </c>
      <c r="H60" s="6">
        <f t="shared" ref="H60:P60" si="50">+G60+1</f>
        <v>2014</v>
      </c>
      <c r="I60" s="7">
        <f t="shared" si="50"/>
        <v>2015</v>
      </c>
      <c r="J60" s="8">
        <f t="shared" si="50"/>
        <v>2016</v>
      </c>
      <c r="K60" s="6">
        <f t="shared" si="50"/>
        <v>2017</v>
      </c>
      <c r="L60" s="6">
        <f t="shared" si="50"/>
        <v>2018</v>
      </c>
      <c r="M60" s="6">
        <f t="shared" si="50"/>
        <v>2019</v>
      </c>
      <c r="N60" s="6">
        <f t="shared" si="50"/>
        <v>2020</v>
      </c>
      <c r="O60" s="6">
        <f t="shared" si="50"/>
        <v>2021</v>
      </c>
      <c r="P60" s="5">
        <f t="shared" si="50"/>
        <v>2022</v>
      </c>
    </row>
    <row r="61" spans="2:16" hidden="1" x14ac:dyDescent="0.25">
      <c r="C61" s="2"/>
      <c r="D61" s="291"/>
      <c r="E61" s="291"/>
      <c r="F61" s="2"/>
      <c r="G61" s="2"/>
      <c r="H61" s="2"/>
      <c r="I61" s="3"/>
      <c r="J61" s="4"/>
      <c r="K61" s="2"/>
      <c r="L61" s="2"/>
      <c r="M61" s="2"/>
      <c r="N61" s="2"/>
      <c r="O61" s="2"/>
    </row>
    <row r="62" spans="2:16" ht="16.5" hidden="1" thickBot="1" x14ac:dyDescent="0.3">
      <c r="B62" s="228" t="s">
        <v>161</v>
      </c>
      <c r="C62" s="55"/>
      <c r="F62" s="229">
        <v>0</v>
      </c>
      <c r="G62" s="229">
        <v>0</v>
      </c>
      <c r="H62" s="229">
        <v>0</v>
      </c>
      <c r="I62" s="229">
        <v>0</v>
      </c>
      <c r="J62" s="230">
        <v>40200</v>
      </c>
      <c r="K62" s="230">
        <v>97500</v>
      </c>
      <c r="L62" s="230">
        <v>116800</v>
      </c>
      <c r="M62" s="230">
        <v>121500</v>
      </c>
      <c r="N62" s="231">
        <v>109350</v>
      </c>
      <c r="O62" s="231">
        <v>81000</v>
      </c>
      <c r="P62" s="231">
        <v>81000</v>
      </c>
    </row>
    <row r="63" spans="2:16" ht="16.5" hidden="1" thickBot="1" x14ac:dyDescent="0.3">
      <c r="B63" s="232" t="s">
        <v>162</v>
      </c>
      <c r="C63" s="34"/>
      <c r="F63" s="233">
        <v>38577</v>
      </c>
      <c r="G63" s="233">
        <v>28999</v>
      </c>
      <c r="H63" s="233">
        <v>27022</v>
      </c>
      <c r="I63" s="233">
        <v>29272</v>
      </c>
      <c r="J63" s="233">
        <v>30000</v>
      </c>
      <c r="K63" s="233">
        <v>30000</v>
      </c>
      <c r="L63" s="233">
        <v>30000</v>
      </c>
      <c r="M63" s="233">
        <v>30000</v>
      </c>
      <c r="N63" s="233">
        <v>20000</v>
      </c>
      <c r="O63" s="234">
        <v>0</v>
      </c>
      <c r="P63" s="234">
        <v>0</v>
      </c>
    </row>
    <row r="64" spans="2:16" ht="16.5" hidden="1" thickBot="1" x14ac:dyDescent="0.3">
      <c r="B64" s="235" t="s">
        <v>163</v>
      </c>
      <c r="C64" s="34"/>
      <c r="F64" s="233">
        <v>145342</v>
      </c>
      <c r="G64" s="233">
        <v>124924</v>
      </c>
      <c r="H64" s="233">
        <v>102188</v>
      </c>
      <c r="I64" s="233">
        <v>82029</v>
      </c>
      <c r="J64" s="233">
        <v>90000</v>
      </c>
      <c r="K64" s="233">
        <v>109000</v>
      </c>
      <c r="L64" s="233">
        <v>109000</v>
      </c>
      <c r="M64" s="233">
        <v>109000</v>
      </c>
      <c r="N64" s="233">
        <v>100000</v>
      </c>
      <c r="O64" s="234">
        <v>0</v>
      </c>
      <c r="P64" s="234">
        <v>0</v>
      </c>
    </row>
    <row r="65" spans="2:16" ht="16.5" hidden="1" thickBot="1" x14ac:dyDescent="0.3">
      <c r="B65" s="235" t="s">
        <v>164</v>
      </c>
      <c r="C65" s="28"/>
      <c r="F65" s="234">
        <v>0</v>
      </c>
      <c r="G65" s="234">
        <v>0</v>
      </c>
      <c r="H65" s="234">
        <v>0</v>
      </c>
      <c r="I65" s="234">
        <v>0</v>
      </c>
      <c r="J65" s="234">
        <v>0</v>
      </c>
      <c r="K65" s="234">
        <v>0</v>
      </c>
      <c r="L65" s="234">
        <v>0</v>
      </c>
      <c r="M65" s="236">
        <v>100000</v>
      </c>
      <c r="N65" s="236">
        <v>180000</v>
      </c>
      <c r="O65" s="236">
        <v>250000</v>
      </c>
      <c r="P65" s="236">
        <v>250000</v>
      </c>
    </row>
    <row r="66" spans="2:16" ht="16.5" hidden="1" thickBot="1" x14ac:dyDescent="0.3">
      <c r="B66" s="235" t="s">
        <v>165</v>
      </c>
      <c r="C66" s="34"/>
      <c r="F66" s="233">
        <v>52000</v>
      </c>
      <c r="G66" s="233">
        <v>52000</v>
      </c>
      <c r="H66" s="233">
        <v>54000</v>
      </c>
      <c r="I66" s="233">
        <v>55500</v>
      </c>
      <c r="J66" s="233">
        <v>55000</v>
      </c>
      <c r="K66" s="233">
        <v>55000</v>
      </c>
      <c r="L66" s="233">
        <v>55000</v>
      </c>
      <c r="M66" s="236">
        <v>55000</v>
      </c>
      <c r="N66" s="236">
        <v>55000</v>
      </c>
      <c r="O66" s="236">
        <v>55000</v>
      </c>
      <c r="P66" s="236">
        <v>55000</v>
      </c>
    </row>
    <row r="67" spans="2:16" ht="16.5" hidden="1" thickBot="1" x14ac:dyDescent="0.3">
      <c r="B67" s="235" t="s">
        <v>166</v>
      </c>
      <c r="C67" s="34"/>
      <c r="F67" s="234">
        <v>0</v>
      </c>
      <c r="G67" s="233">
        <v>33300</v>
      </c>
      <c r="H67" s="233">
        <v>63400</v>
      </c>
      <c r="I67" s="233">
        <v>86000</v>
      </c>
      <c r="J67" s="233">
        <v>83000</v>
      </c>
      <c r="K67" s="233">
        <v>80000</v>
      </c>
      <c r="L67" s="233">
        <v>75000</v>
      </c>
      <c r="M67" s="236">
        <v>75000</v>
      </c>
      <c r="N67" s="236">
        <v>75000</v>
      </c>
      <c r="O67" s="236">
        <v>70000</v>
      </c>
      <c r="P67" s="236">
        <v>65000</v>
      </c>
    </row>
    <row r="68" spans="2:16" ht="16.5" hidden="1" thickBot="1" x14ac:dyDescent="0.3">
      <c r="B68" s="235" t="s">
        <v>167</v>
      </c>
      <c r="C68" s="34"/>
      <c r="F68" s="233">
        <v>47600</v>
      </c>
      <c r="G68" s="233">
        <v>44200</v>
      </c>
      <c r="H68" s="233">
        <v>45412</v>
      </c>
      <c r="I68" s="233">
        <v>45000</v>
      </c>
      <c r="J68" s="233">
        <v>45000</v>
      </c>
      <c r="K68" s="233">
        <v>45000</v>
      </c>
      <c r="L68" s="233">
        <v>45000</v>
      </c>
      <c r="M68" s="236">
        <v>45000</v>
      </c>
      <c r="N68" s="236">
        <v>45000</v>
      </c>
      <c r="O68" s="236">
        <v>45000</v>
      </c>
      <c r="P68" s="236">
        <v>45000</v>
      </c>
    </row>
    <row r="69" spans="2:16" ht="16.5" hidden="1" thickBot="1" x14ac:dyDescent="0.3">
      <c r="B69" s="235" t="s">
        <v>168</v>
      </c>
      <c r="C69" s="28"/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6">
        <v>60000</v>
      </c>
      <c r="N69" s="236">
        <v>180000</v>
      </c>
      <c r="O69" s="236">
        <v>240000</v>
      </c>
      <c r="P69" s="236">
        <v>240000</v>
      </c>
    </row>
    <row r="70" spans="2:16" ht="16.5" hidden="1" thickBot="1" x14ac:dyDescent="0.3">
      <c r="B70" s="235" t="s">
        <v>48</v>
      </c>
      <c r="C70" s="44"/>
      <c r="F70" s="233">
        <v>26500</v>
      </c>
      <c r="G70" s="233">
        <v>20757</v>
      </c>
      <c r="H70" s="233">
        <v>20769</v>
      </c>
      <c r="I70" s="233">
        <v>25000</v>
      </c>
      <c r="J70" s="233">
        <v>25000</v>
      </c>
      <c r="K70" s="233">
        <v>25000</v>
      </c>
      <c r="L70" s="233">
        <v>25000</v>
      </c>
      <c r="M70" s="236">
        <v>25000</v>
      </c>
      <c r="N70" s="236">
        <v>25000</v>
      </c>
      <c r="O70" s="236">
        <v>25000</v>
      </c>
      <c r="P70" s="236">
        <v>25000</v>
      </c>
    </row>
    <row r="71" spans="2:16" ht="15.75" hidden="1" x14ac:dyDescent="0.25">
      <c r="B71" s="823" t="s">
        <v>15</v>
      </c>
      <c r="C71" s="28"/>
      <c r="F71" s="825">
        <v>310019</v>
      </c>
      <c r="G71" s="825">
        <v>304180</v>
      </c>
      <c r="H71" s="825">
        <v>312791</v>
      </c>
      <c r="I71" s="825">
        <v>322801</v>
      </c>
      <c r="J71" s="825">
        <v>368200</v>
      </c>
      <c r="K71" s="825">
        <v>441500</v>
      </c>
      <c r="L71" s="825">
        <v>455800</v>
      </c>
      <c r="M71" s="821">
        <v>620500</v>
      </c>
      <c r="N71" s="821">
        <v>789350</v>
      </c>
      <c r="O71" s="821">
        <v>766000</v>
      </c>
      <c r="P71" s="821">
        <v>761000</v>
      </c>
    </row>
    <row r="72" spans="2:16" ht="15.75" hidden="1" thickBot="1" x14ac:dyDescent="0.3">
      <c r="B72" s="824"/>
      <c r="F72" s="826"/>
      <c r="G72" s="826"/>
      <c r="H72" s="826"/>
      <c r="I72" s="826"/>
      <c r="J72" s="826"/>
      <c r="K72" s="826"/>
      <c r="L72" s="826"/>
      <c r="M72" s="822"/>
      <c r="N72" s="822"/>
      <c r="O72" s="822"/>
      <c r="P72" s="822"/>
    </row>
    <row r="73" spans="2:16" hidden="1" x14ac:dyDescent="0.25"/>
  </sheetData>
  <mergeCells count="12">
    <mergeCell ref="P71:P72"/>
    <mergeCell ref="B71:B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O7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56"/>
  <sheetViews>
    <sheetView workbookViewId="0"/>
  </sheetViews>
  <sheetFormatPr defaultRowHeight="15" x14ac:dyDescent="0.25"/>
  <cols>
    <col min="2" max="2" width="33" customWidth="1"/>
    <col min="3" max="3" width="29.5703125" style="166" customWidth="1"/>
    <col min="4" max="4" width="21.140625" customWidth="1"/>
    <col min="5" max="5" width="14.7109375" customWidth="1"/>
    <col min="10" max="10" width="9.5703125" customWidth="1"/>
    <col min="18" max="18" width="111" customWidth="1"/>
  </cols>
  <sheetData>
    <row r="1" spans="2:18" ht="18.75" x14ac:dyDescent="0.3">
      <c r="B1" s="266" t="s">
        <v>558</v>
      </c>
      <c r="H1" s="266" t="s">
        <v>562</v>
      </c>
    </row>
    <row r="2" spans="2:18" x14ac:dyDescent="0.25">
      <c r="F2" t="s">
        <v>96</v>
      </c>
    </row>
    <row r="4" spans="2:18" ht="18.75" x14ac:dyDescent="0.3">
      <c r="B4" s="266" t="s">
        <v>187</v>
      </c>
    </row>
    <row r="5" spans="2:18" ht="15.75" x14ac:dyDescent="0.25">
      <c r="B5" s="815" t="s">
        <v>0</v>
      </c>
      <c r="C5" s="368"/>
      <c r="D5" s="368"/>
      <c r="E5" s="6" t="s">
        <v>206</v>
      </c>
      <c r="F5" s="809">
        <v>2012</v>
      </c>
      <c r="G5" s="809">
        <v>2013</v>
      </c>
      <c r="H5" s="809">
        <v>2014</v>
      </c>
      <c r="I5" s="827">
        <v>2015</v>
      </c>
      <c r="J5" s="815">
        <v>2016</v>
      </c>
      <c r="K5" s="809">
        <v>2017</v>
      </c>
      <c r="L5" s="809">
        <v>2018</v>
      </c>
      <c r="M5" s="809">
        <v>2019</v>
      </c>
      <c r="N5" s="809">
        <v>2020</v>
      </c>
      <c r="O5" s="809">
        <v>2021</v>
      </c>
      <c r="P5" s="811">
        <v>2022</v>
      </c>
    </row>
    <row r="6" spans="2:18" ht="16.5" thickBot="1" x14ac:dyDescent="0.3">
      <c r="B6" s="816"/>
      <c r="C6" s="165" t="s">
        <v>1</v>
      </c>
      <c r="D6" s="165" t="s">
        <v>2</v>
      </c>
      <c r="E6" s="276" t="s">
        <v>207</v>
      </c>
      <c r="F6" s="810"/>
      <c r="G6" s="810"/>
      <c r="H6" s="810"/>
      <c r="I6" s="828"/>
      <c r="J6" s="816"/>
      <c r="K6" s="810"/>
      <c r="L6" s="810"/>
      <c r="M6" s="810"/>
      <c r="N6" s="810"/>
      <c r="O6" s="810"/>
      <c r="P6" s="812"/>
    </row>
    <row r="7" spans="2:18" ht="15.75" customHeight="1" x14ac:dyDescent="0.25">
      <c r="B7" s="792" t="s">
        <v>395</v>
      </c>
      <c r="C7" s="178"/>
      <c r="D7" s="170" t="s">
        <v>199</v>
      </c>
      <c r="E7" s="494" t="s">
        <v>208</v>
      </c>
      <c r="F7" s="180">
        <v>48.1</v>
      </c>
      <c r="G7" s="180">
        <v>60.4</v>
      </c>
      <c r="H7" s="180">
        <v>60.2</v>
      </c>
      <c r="I7" s="510">
        <v>46.7</v>
      </c>
      <c r="J7" s="502">
        <v>37.4</v>
      </c>
      <c r="K7" s="180">
        <v>37.799999999999997</v>
      </c>
      <c r="L7" s="180">
        <v>38.9</v>
      </c>
      <c r="M7" s="180">
        <v>42.1</v>
      </c>
      <c r="N7" s="180">
        <v>41</v>
      </c>
      <c r="O7" s="180">
        <v>40</v>
      </c>
      <c r="P7" s="181">
        <v>37.799999999999997</v>
      </c>
      <c r="R7" t="s">
        <v>96</v>
      </c>
    </row>
    <row r="8" spans="2:18" ht="15.75" customHeight="1" x14ac:dyDescent="0.25">
      <c r="B8" s="793" t="s">
        <v>396</v>
      </c>
      <c r="C8" s="467"/>
      <c r="D8" s="467" t="s">
        <v>199</v>
      </c>
      <c r="E8" s="467" t="s">
        <v>208</v>
      </c>
      <c r="F8" s="175">
        <v>69</v>
      </c>
      <c r="G8" s="175">
        <v>45.2</v>
      </c>
      <c r="H8" s="175">
        <v>39</v>
      </c>
      <c r="I8" s="511">
        <v>27.9</v>
      </c>
      <c r="J8" s="503">
        <v>18.600000000000001</v>
      </c>
      <c r="K8" s="175">
        <v>21.5</v>
      </c>
      <c r="L8" s="175">
        <v>35.200000000000003</v>
      </c>
      <c r="M8" s="175">
        <v>48.6</v>
      </c>
      <c r="N8" s="175">
        <v>54</v>
      </c>
      <c r="O8" s="175">
        <v>54</v>
      </c>
      <c r="P8" s="477">
        <v>54</v>
      </c>
    </row>
    <row r="9" spans="2:18" ht="15.75" customHeight="1" x14ac:dyDescent="0.25">
      <c r="B9" s="794" t="s">
        <v>419</v>
      </c>
      <c r="C9" s="528"/>
      <c r="D9" s="528" t="s">
        <v>197</v>
      </c>
      <c r="E9" s="528"/>
      <c r="F9" s="180">
        <v>13.6</v>
      </c>
      <c r="G9" s="180">
        <v>11.3</v>
      </c>
      <c r="H9" s="180">
        <v>7.7</v>
      </c>
      <c r="I9" s="510">
        <v>4.5</v>
      </c>
      <c r="J9" s="502">
        <v>6</v>
      </c>
      <c r="K9" s="180">
        <v>0</v>
      </c>
      <c r="L9" s="180">
        <v>0</v>
      </c>
      <c r="M9" s="180">
        <v>0</v>
      </c>
      <c r="N9" s="180">
        <v>0</v>
      </c>
      <c r="O9" s="180">
        <v>0</v>
      </c>
      <c r="P9" s="480">
        <v>0</v>
      </c>
    </row>
    <row r="10" spans="2:18" ht="15.75" customHeight="1" x14ac:dyDescent="0.25">
      <c r="B10" s="794" t="s">
        <v>418</v>
      </c>
      <c r="C10" s="528"/>
      <c r="D10" s="528" t="s">
        <v>197</v>
      </c>
      <c r="E10" s="528" t="s">
        <v>208</v>
      </c>
      <c r="F10" s="180">
        <v>2.2999999999999998</v>
      </c>
      <c r="G10" s="180">
        <v>0</v>
      </c>
      <c r="H10" s="180">
        <v>0</v>
      </c>
      <c r="I10" s="510">
        <v>0</v>
      </c>
      <c r="J10" s="502">
        <v>0</v>
      </c>
      <c r="K10" s="180">
        <v>0</v>
      </c>
      <c r="L10" s="180">
        <v>0</v>
      </c>
      <c r="M10" s="180">
        <v>0</v>
      </c>
      <c r="N10" s="180">
        <v>0</v>
      </c>
      <c r="O10" s="180">
        <v>0</v>
      </c>
      <c r="P10" s="480">
        <v>0</v>
      </c>
      <c r="Q10" t="s">
        <v>96</v>
      </c>
    </row>
    <row r="11" spans="2:18" ht="15.75" customHeight="1" x14ac:dyDescent="0.25">
      <c r="B11" s="795" t="s">
        <v>397</v>
      </c>
      <c r="C11" s="499"/>
      <c r="D11" s="499" t="s">
        <v>199</v>
      </c>
      <c r="E11" s="499" t="s">
        <v>208</v>
      </c>
      <c r="F11" s="500">
        <v>12.6</v>
      </c>
      <c r="G11" s="500">
        <v>15.1</v>
      </c>
      <c r="H11" s="500">
        <v>14.5</v>
      </c>
      <c r="I11" s="512">
        <v>15</v>
      </c>
      <c r="J11" s="504">
        <v>13.4</v>
      </c>
      <c r="K11" s="500">
        <v>14.2</v>
      </c>
      <c r="L11" s="500">
        <v>14.2</v>
      </c>
      <c r="M11" s="500">
        <v>14.2</v>
      </c>
      <c r="N11" s="500">
        <v>14.2</v>
      </c>
      <c r="O11" s="500">
        <v>14.2</v>
      </c>
      <c r="P11" s="501">
        <v>14.2</v>
      </c>
    </row>
    <row r="12" spans="2:18" ht="15.75" customHeight="1" x14ac:dyDescent="0.25">
      <c r="B12" s="796"/>
      <c r="C12" s="496" t="s">
        <v>399</v>
      </c>
      <c r="D12" s="495"/>
      <c r="E12" s="495"/>
      <c r="F12" s="497">
        <f t="shared" ref="F12:P12" si="0">SUM(F7:F11)</f>
        <v>145.6</v>
      </c>
      <c r="G12" s="497">
        <f t="shared" si="0"/>
        <v>132</v>
      </c>
      <c r="H12" s="497">
        <f t="shared" si="0"/>
        <v>121.4</v>
      </c>
      <c r="I12" s="513">
        <f t="shared" si="0"/>
        <v>94.1</v>
      </c>
      <c r="J12" s="505">
        <f t="shared" si="0"/>
        <v>75.400000000000006</v>
      </c>
      <c r="K12" s="497">
        <f t="shared" si="0"/>
        <v>73.5</v>
      </c>
      <c r="L12" s="497">
        <f t="shared" si="0"/>
        <v>88.3</v>
      </c>
      <c r="M12" s="497">
        <f t="shared" si="0"/>
        <v>104.9</v>
      </c>
      <c r="N12" s="497">
        <f t="shared" si="0"/>
        <v>109.2</v>
      </c>
      <c r="O12" s="497">
        <f t="shared" si="0"/>
        <v>108.2</v>
      </c>
      <c r="P12" s="498">
        <f t="shared" si="0"/>
        <v>106</v>
      </c>
    </row>
    <row r="13" spans="2:18" ht="15.75" customHeight="1" x14ac:dyDescent="0.25">
      <c r="B13" s="797"/>
      <c r="C13" s="369"/>
      <c r="D13" s="484"/>
      <c r="E13" s="484"/>
      <c r="F13" s="475"/>
      <c r="G13" s="475"/>
      <c r="H13" s="475"/>
      <c r="I13" s="514"/>
      <c r="J13" s="506"/>
      <c r="K13" s="475"/>
      <c r="L13" s="475"/>
      <c r="M13" s="475"/>
      <c r="N13" s="475"/>
      <c r="O13" s="475"/>
      <c r="P13" s="478"/>
    </row>
    <row r="14" spans="2:18" ht="15.75" customHeight="1" x14ac:dyDescent="0.25">
      <c r="B14" s="798" t="s">
        <v>390</v>
      </c>
      <c r="C14" s="485"/>
      <c r="D14" s="485" t="s">
        <v>420</v>
      </c>
      <c r="E14" s="530" t="s">
        <v>208</v>
      </c>
      <c r="F14" s="187">
        <v>116</v>
      </c>
      <c r="G14" s="187">
        <v>122.8</v>
      </c>
      <c r="H14" s="187">
        <v>115.9</v>
      </c>
      <c r="I14" s="515">
        <v>111.6</v>
      </c>
      <c r="J14" s="507">
        <v>118.7</v>
      </c>
      <c r="K14" s="187">
        <v>107.7</v>
      </c>
      <c r="L14" s="187">
        <v>97.9</v>
      </c>
      <c r="M14" s="187">
        <v>83.3</v>
      </c>
      <c r="N14" s="187">
        <v>80.099999999999994</v>
      </c>
      <c r="O14" s="187">
        <v>53.4</v>
      </c>
      <c r="P14" s="479">
        <v>22.3</v>
      </c>
    </row>
    <row r="15" spans="2:18" ht="15.75" customHeight="1" x14ac:dyDescent="0.25">
      <c r="B15" s="799" t="s">
        <v>391</v>
      </c>
      <c r="C15" s="467"/>
      <c r="D15" s="467" t="s">
        <v>199</v>
      </c>
      <c r="E15" s="467" t="s">
        <v>208</v>
      </c>
      <c r="F15" s="175">
        <v>6</v>
      </c>
      <c r="G15" s="175">
        <v>6.9</v>
      </c>
      <c r="H15" s="175">
        <v>5.2</v>
      </c>
      <c r="I15" s="511">
        <v>5.5</v>
      </c>
      <c r="J15" s="503">
        <v>4.0999999999999996</v>
      </c>
      <c r="K15" s="175">
        <v>6</v>
      </c>
      <c r="L15" s="175">
        <v>6</v>
      </c>
      <c r="M15" s="175">
        <v>6</v>
      </c>
      <c r="N15" s="175">
        <v>6</v>
      </c>
      <c r="O15" s="175">
        <v>6</v>
      </c>
      <c r="P15" s="477">
        <v>6</v>
      </c>
    </row>
    <row r="16" spans="2:18" ht="15.75" customHeight="1" x14ac:dyDescent="0.25">
      <c r="B16" s="799" t="s">
        <v>392</v>
      </c>
      <c r="C16" s="467"/>
      <c r="D16" s="467" t="s">
        <v>199</v>
      </c>
      <c r="E16" s="467" t="s">
        <v>208</v>
      </c>
      <c r="F16" s="175">
        <v>55</v>
      </c>
      <c r="G16" s="175">
        <v>51.5</v>
      </c>
      <c r="H16" s="175">
        <v>47.5</v>
      </c>
      <c r="I16" s="511">
        <v>50</v>
      </c>
      <c r="J16" s="503">
        <v>46</v>
      </c>
      <c r="K16" s="175">
        <v>49.5</v>
      </c>
      <c r="L16" s="175">
        <v>49.5</v>
      </c>
      <c r="M16" s="175">
        <v>49.5</v>
      </c>
      <c r="N16" s="175">
        <v>49.5</v>
      </c>
      <c r="O16" s="175">
        <v>49.5</v>
      </c>
      <c r="P16" s="176">
        <v>49.5</v>
      </c>
    </row>
    <row r="17" spans="2:18" ht="15.75" customHeight="1" x14ac:dyDescent="0.25">
      <c r="B17" s="799" t="s">
        <v>393</v>
      </c>
      <c r="C17" s="467"/>
      <c r="D17" s="467" t="s">
        <v>199</v>
      </c>
      <c r="E17" s="467" t="s">
        <v>208</v>
      </c>
      <c r="F17" s="175">
        <v>3</v>
      </c>
      <c r="G17" s="175">
        <v>3.5</v>
      </c>
      <c r="H17" s="175">
        <v>1.2</v>
      </c>
      <c r="I17" s="511">
        <v>3</v>
      </c>
      <c r="J17" s="503">
        <v>4</v>
      </c>
      <c r="K17" s="175">
        <v>3</v>
      </c>
      <c r="L17" s="175">
        <v>3</v>
      </c>
      <c r="M17" s="175">
        <v>3</v>
      </c>
      <c r="N17" s="175">
        <v>3</v>
      </c>
      <c r="O17" s="175">
        <v>3</v>
      </c>
      <c r="P17" s="477">
        <v>3</v>
      </c>
    </row>
    <row r="18" spans="2:18" ht="15.75" customHeight="1" x14ac:dyDescent="0.25">
      <c r="B18" s="800" t="s">
        <v>394</v>
      </c>
      <c r="C18" s="467"/>
      <c r="D18" s="902" t="s">
        <v>199</v>
      </c>
      <c r="E18" s="357" t="s">
        <v>19</v>
      </c>
      <c r="F18" s="180">
        <v>22.5</v>
      </c>
      <c r="G18" s="180">
        <v>43.1</v>
      </c>
      <c r="H18" s="180">
        <v>22.4</v>
      </c>
      <c r="I18" s="510">
        <v>30.5</v>
      </c>
      <c r="J18" s="502">
        <v>18</v>
      </c>
      <c r="K18" s="180">
        <v>32</v>
      </c>
      <c r="L18" s="180">
        <v>32</v>
      </c>
      <c r="M18" s="180">
        <v>54</v>
      </c>
      <c r="N18" s="180">
        <v>54</v>
      </c>
      <c r="O18" s="180">
        <v>54</v>
      </c>
      <c r="P18" s="480">
        <v>54</v>
      </c>
      <c r="R18" t="s">
        <v>518</v>
      </c>
    </row>
    <row r="19" spans="2:18" ht="15.75" customHeight="1" x14ac:dyDescent="0.25">
      <c r="B19" s="796"/>
      <c r="C19" s="483" t="s">
        <v>400</v>
      </c>
      <c r="D19" s="487"/>
      <c r="E19" s="487"/>
      <c r="F19" s="538">
        <f>SUM(F14:F18)</f>
        <v>202.5</v>
      </c>
      <c r="G19" s="538">
        <f t="shared" ref="G19:P19" si="1">SUM(G14:G18)</f>
        <v>227.79999999999998</v>
      </c>
      <c r="H19" s="538">
        <f t="shared" si="1"/>
        <v>192.20000000000002</v>
      </c>
      <c r="I19" s="539">
        <f t="shared" si="1"/>
        <v>200.6</v>
      </c>
      <c r="J19" s="540">
        <f t="shared" si="1"/>
        <v>190.8</v>
      </c>
      <c r="K19" s="538">
        <f t="shared" si="1"/>
        <v>198.2</v>
      </c>
      <c r="L19" s="538">
        <f t="shared" si="1"/>
        <v>188.4</v>
      </c>
      <c r="M19" s="538">
        <f t="shared" si="1"/>
        <v>195.8</v>
      </c>
      <c r="N19" s="538">
        <f t="shared" si="1"/>
        <v>192.6</v>
      </c>
      <c r="O19" s="538">
        <f t="shared" si="1"/>
        <v>165.9</v>
      </c>
      <c r="P19" s="541">
        <f t="shared" si="1"/>
        <v>134.80000000000001</v>
      </c>
      <c r="R19" t="s">
        <v>427</v>
      </c>
    </row>
    <row r="20" spans="2:18" ht="15.75" customHeight="1" x14ac:dyDescent="0.25">
      <c r="B20" s="185"/>
      <c r="C20" s="485"/>
      <c r="D20" s="486"/>
      <c r="E20" s="486"/>
      <c r="F20" s="187"/>
      <c r="G20" s="187"/>
      <c r="H20" s="187"/>
      <c r="I20" s="515"/>
      <c r="J20" s="507"/>
      <c r="K20" s="187"/>
      <c r="L20" s="187"/>
      <c r="M20" s="187"/>
      <c r="N20" s="187"/>
      <c r="O20" s="187"/>
      <c r="P20" s="479"/>
    </row>
    <row r="21" spans="2:18" ht="15.75" customHeight="1" x14ac:dyDescent="0.25">
      <c r="B21" s="260" t="s">
        <v>401</v>
      </c>
      <c r="C21" s="519" t="s">
        <v>398</v>
      </c>
      <c r="D21" s="467" t="s">
        <v>199</v>
      </c>
      <c r="E21" s="467" t="s">
        <v>350</v>
      </c>
      <c r="F21" s="175">
        <v>34.200000000000003</v>
      </c>
      <c r="G21" s="175">
        <v>34.9</v>
      </c>
      <c r="H21" s="175">
        <v>36.200000000000003</v>
      </c>
      <c r="I21" s="511">
        <v>36.700000000000003</v>
      </c>
      <c r="J21" s="503">
        <v>36.5</v>
      </c>
      <c r="K21" s="175">
        <v>20</v>
      </c>
      <c r="L21" s="175">
        <v>30</v>
      </c>
      <c r="M21" s="175">
        <v>35</v>
      </c>
      <c r="N21" s="175">
        <v>35</v>
      </c>
      <c r="O21" s="175">
        <v>35</v>
      </c>
      <c r="P21" s="477">
        <v>35</v>
      </c>
    </row>
    <row r="22" spans="2:18" ht="15.75" customHeight="1" thickBot="1" x14ac:dyDescent="0.3">
      <c r="B22" s="801" t="s">
        <v>48</v>
      </c>
      <c r="C22" s="488"/>
      <c r="D22" s="489"/>
      <c r="E22" s="489"/>
      <c r="F22" s="192">
        <v>15</v>
      </c>
      <c r="G22" s="192">
        <v>15</v>
      </c>
      <c r="H22" s="192">
        <v>15</v>
      </c>
      <c r="I22" s="516">
        <v>15</v>
      </c>
      <c r="J22" s="508">
        <v>15</v>
      </c>
      <c r="K22" s="192">
        <v>12</v>
      </c>
      <c r="L22" s="192">
        <v>12</v>
      </c>
      <c r="M22" s="192">
        <v>12</v>
      </c>
      <c r="N22" s="192">
        <v>12</v>
      </c>
      <c r="O22" s="192">
        <v>12</v>
      </c>
      <c r="P22" s="481">
        <v>12</v>
      </c>
      <c r="R22" t="s">
        <v>426</v>
      </c>
    </row>
    <row r="23" spans="2:18" ht="15.75" customHeight="1" x14ac:dyDescent="0.25">
      <c r="B23" s="802" t="s">
        <v>15</v>
      </c>
      <c r="C23" s="490"/>
      <c r="D23" s="491"/>
      <c r="E23" s="492"/>
      <c r="F23" s="493">
        <f>+F12+F19+F21+F22</f>
        <v>397.3</v>
      </c>
      <c r="G23" s="198">
        <f t="shared" ref="G23:P23" si="2">+G12+G19+G21+G22</f>
        <v>409.69999999999993</v>
      </c>
      <c r="H23" s="198">
        <f t="shared" si="2"/>
        <v>364.8</v>
      </c>
      <c r="I23" s="517">
        <f t="shared" si="2"/>
        <v>346.4</v>
      </c>
      <c r="J23" s="509">
        <f t="shared" si="2"/>
        <v>317.70000000000005</v>
      </c>
      <c r="K23" s="198">
        <f t="shared" si="2"/>
        <v>303.7</v>
      </c>
      <c r="L23" s="198">
        <f t="shared" si="2"/>
        <v>318.7</v>
      </c>
      <c r="M23" s="198">
        <f t="shared" si="2"/>
        <v>347.70000000000005</v>
      </c>
      <c r="N23" s="198">
        <f t="shared" si="2"/>
        <v>348.8</v>
      </c>
      <c r="O23" s="198">
        <f t="shared" si="2"/>
        <v>321.10000000000002</v>
      </c>
      <c r="P23" s="482">
        <f t="shared" si="2"/>
        <v>287.8</v>
      </c>
    </row>
    <row r="24" spans="2:18" ht="15.75" customHeight="1" x14ac:dyDescent="0.25">
      <c r="B24" s="803" t="s">
        <v>424</v>
      </c>
      <c r="C24" s="529"/>
      <c r="D24" s="492"/>
      <c r="E24" s="492"/>
      <c r="F24" s="533">
        <f>+F26-F23</f>
        <v>31.699999999999989</v>
      </c>
      <c r="G24" s="533">
        <f t="shared" ref="G24:J24" si="3">+G26-G23</f>
        <v>2.3000000000000682</v>
      </c>
      <c r="H24" s="533">
        <f t="shared" si="3"/>
        <v>12.199999999999989</v>
      </c>
      <c r="I24" s="536">
        <f t="shared" si="3"/>
        <v>25.600000000000023</v>
      </c>
      <c r="J24" s="537">
        <f t="shared" si="3"/>
        <v>-0.70000000000004547</v>
      </c>
      <c r="K24" s="411">
        <v>20</v>
      </c>
      <c r="L24" s="411">
        <v>20</v>
      </c>
      <c r="M24" s="411">
        <v>20</v>
      </c>
      <c r="N24" s="411">
        <v>20</v>
      </c>
      <c r="O24" s="411">
        <v>20</v>
      </c>
      <c r="P24" s="412">
        <v>20</v>
      </c>
      <c r="R24" t="s">
        <v>425</v>
      </c>
    </row>
    <row r="25" spans="2:18" ht="15.75" customHeight="1" x14ac:dyDescent="0.25">
      <c r="B25" s="803"/>
      <c r="C25" s="529"/>
      <c r="D25" s="492"/>
      <c r="E25" s="492"/>
      <c r="F25" s="493"/>
      <c r="G25" s="475"/>
      <c r="H25" s="475"/>
      <c r="I25" s="514"/>
      <c r="J25" s="506"/>
      <c r="K25" s="475"/>
      <c r="L25" s="475"/>
      <c r="M25" s="475"/>
      <c r="N25" s="475"/>
      <c r="O25" s="475"/>
      <c r="P25" s="476"/>
    </row>
    <row r="26" spans="2:18" ht="15.75" customHeight="1" x14ac:dyDescent="0.25">
      <c r="B26" s="803" t="s">
        <v>15</v>
      </c>
      <c r="C26" s="529"/>
      <c r="D26" s="492"/>
      <c r="E26" s="492"/>
      <c r="F26" s="533">
        <v>429</v>
      </c>
      <c r="G26" s="411">
        <v>412</v>
      </c>
      <c r="H26" s="411">
        <v>377</v>
      </c>
      <c r="I26" s="534">
        <v>372</v>
      </c>
      <c r="J26" s="535">
        <v>317</v>
      </c>
      <c r="K26" s="411">
        <f>+K24+K23</f>
        <v>323.7</v>
      </c>
      <c r="L26" s="411">
        <f t="shared" ref="L26:P26" si="4">+L24+L23</f>
        <v>338.7</v>
      </c>
      <c r="M26" s="411">
        <f t="shared" si="4"/>
        <v>367.70000000000005</v>
      </c>
      <c r="N26" s="411">
        <f t="shared" si="4"/>
        <v>368.8</v>
      </c>
      <c r="O26" s="411">
        <f t="shared" si="4"/>
        <v>341.1</v>
      </c>
      <c r="P26" s="412">
        <f t="shared" si="4"/>
        <v>307.8</v>
      </c>
    </row>
    <row r="27" spans="2:18" ht="15.75" customHeight="1" x14ac:dyDescent="0.25">
      <c r="B27" s="259"/>
      <c r="C27" s="291"/>
      <c r="D27" s="2"/>
      <c r="E27" s="2"/>
      <c r="F27" s="2"/>
      <c r="G27" s="2"/>
      <c r="H27" s="2"/>
      <c r="I27" s="518"/>
      <c r="J27" s="259"/>
      <c r="K27" s="2"/>
      <c r="L27" s="2"/>
      <c r="M27" s="2"/>
      <c r="N27" s="2"/>
      <c r="O27" s="2"/>
    </row>
    <row r="28" spans="2:18" x14ac:dyDescent="0.25">
      <c r="B28" s="59"/>
      <c r="C28" s="37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</row>
    <row r="29" spans="2:18" x14ac:dyDescent="0.25">
      <c r="B29" s="59"/>
      <c r="C29" s="37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</row>
    <row r="30" spans="2:18" x14ac:dyDescent="0.25">
      <c r="B30" s="59"/>
      <c r="C30" s="37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</row>
    <row r="31" spans="2:18" ht="15.75" x14ac:dyDescent="0.25">
      <c r="B31" s="290" t="s">
        <v>421</v>
      </c>
      <c r="F31" s="474">
        <v>433</v>
      </c>
      <c r="G31" s="474">
        <v>407</v>
      </c>
      <c r="H31" s="474">
        <v>376</v>
      </c>
      <c r="I31" s="474">
        <v>374</v>
      </c>
      <c r="J31" s="474">
        <v>317</v>
      </c>
      <c r="K31" s="532">
        <v>395</v>
      </c>
      <c r="L31" s="532">
        <v>394</v>
      </c>
      <c r="R31" t="s">
        <v>429</v>
      </c>
    </row>
    <row r="32" spans="2:18" ht="17.25" customHeight="1" x14ac:dyDescent="0.25">
      <c r="B32" s="290" t="s">
        <v>422</v>
      </c>
      <c r="F32" s="474">
        <v>425</v>
      </c>
      <c r="G32" s="474">
        <v>417</v>
      </c>
      <c r="H32" s="474">
        <v>378</v>
      </c>
      <c r="I32" s="474">
        <v>369</v>
      </c>
      <c r="J32" s="474"/>
      <c r="K32" s="474"/>
      <c r="L32" s="474"/>
      <c r="R32" t="s">
        <v>428</v>
      </c>
    </row>
    <row r="33" spans="2:18" ht="15.75" x14ac:dyDescent="0.25">
      <c r="B33" s="290" t="s">
        <v>423</v>
      </c>
      <c r="F33" s="531">
        <f>+(F32+F31)/2</f>
        <v>429</v>
      </c>
      <c r="G33" s="531">
        <f t="shared" ref="G33:I33" si="5">+(G32+G31)/2</f>
        <v>412</v>
      </c>
      <c r="H33" s="531">
        <f t="shared" si="5"/>
        <v>377</v>
      </c>
      <c r="I33" s="531">
        <f t="shared" si="5"/>
        <v>371.5</v>
      </c>
      <c r="J33" s="474"/>
      <c r="K33" s="474"/>
      <c r="L33" s="474"/>
      <c r="R33" t="s">
        <v>517</v>
      </c>
    </row>
    <row r="37" spans="2:18" ht="18.75" x14ac:dyDescent="0.3">
      <c r="B37" s="266" t="s">
        <v>210</v>
      </c>
      <c r="R37" s="280" t="s">
        <v>214</v>
      </c>
    </row>
    <row r="39" spans="2:18" ht="15.75" x14ac:dyDescent="0.25">
      <c r="B39" s="815" t="s">
        <v>0</v>
      </c>
      <c r="C39" s="368"/>
      <c r="D39" s="368"/>
      <c r="E39" s="6" t="s">
        <v>206</v>
      </c>
      <c r="F39" s="809">
        <v>2012</v>
      </c>
      <c r="G39" s="809">
        <v>2013</v>
      </c>
      <c r="H39" s="809">
        <v>2014</v>
      </c>
      <c r="I39" s="827">
        <v>2015</v>
      </c>
      <c r="J39" s="815">
        <v>2016</v>
      </c>
      <c r="K39" s="809">
        <v>2017</v>
      </c>
      <c r="L39" s="809">
        <v>2018</v>
      </c>
      <c r="M39" s="809">
        <v>2019</v>
      </c>
      <c r="N39" s="809">
        <v>2020</v>
      </c>
      <c r="O39" s="809">
        <v>2021</v>
      </c>
      <c r="P39" s="811">
        <v>2022</v>
      </c>
    </row>
    <row r="40" spans="2:18" ht="16.5" thickBot="1" x14ac:dyDescent="0.3">
      <c r="B40" s="816"/>
      <c r="C40" s="165" t="s">
        <v>1</v>
      </c>
      <c r="D40" s="165" t="s">
        <v>2</v>
      </c>
      <c r="E40" s="276" t="s">
        <v>207</v>
      </c>
      <c r="F40" s="810"/>
      <c r="G40" s="810"/>
      <c r="H40" s="810"/>
      <c r="I40" s="828"/>
      <c r="J40" s="816"/>
      <c r="K40" s="810"/>
      <c r="L40" s="810"/>
      <c r="M40" s="810"/>
      <c r="N40" s="810"/>
      <c r="O40" s="810"/>
      <c r="P40" s="812"/>
    </row>
    <row r="41" spans="2:18" ht="15.75" x14ac:dyDescent="0.25">
      <c r="B41" s="792" t="s">
        <v>395</v>
      </c>
      <c r="C41" s="178"/>
      <c r="D41" s="170" t="s">
        <v>199</v>
      </c>
      <c r="E41" s="494" t="s">
        <v>208</v>
      </c>
      <c r="F41" s="180">
        <v>48.1</v>
      </c>
      <c r="G41" s="180">
        <v>60.4</v>
      </c>
      <c r="H41" s="180">
        <v>60.2</v>
      </c>
      <c r="I41" s="510">
        <v>46.7</v>
      </c>
      <c r="J41" s="545">
        <v>37.4</v>
      </c>
      <c r="K41" s="180">
        <v>37.799999999999997</v>
      </c>
      <c r="L41" s="180">
        <v>38.9</v>
      </c>
      <c r="M41" s="180">
        <v>42.1</v>
      </c>
      <c r="N41" s="180">
        <v>41</v>
      </c>
      <c r="O41" s="180">
        <v>40</v>
      </c>
      <c r="P41" s="181">
        <v>37.799999999999997</v>
      </c>
    </row>
    <row r="42" spans="2:18" ht="15.75" x14ac:dyDescent="0.25">
      <c r="B42" s="793" t="s">
        <v>396</v>
      </c>
      <c r="C42" s="467"/>
      <c r="D42" s="467" t="s">
        <v>199</v>
      </c>
      <c r="E42" s="467" t="s">
        <v>208</v>
      </c>
      <c r="F42" s="175">
        <v>69</v>
      </c>
      <c r="G42" s="175">
        <v>45.2</v>
      </c>
      <c r="H42" s="175">
        <v>39</v>
      </c>
      <c r="I42" s="511">
        <v>27.9</v>
      </c>
      <c r="J42" s="544">
        <v>18.600000000000001</v>
      </c>
      <c r="K42" s="175">
        <v>21.5</v>
      </c>
      <c r="L42" s="175">
        <v>35.200000000000003</v>
      </c>
      <c r="M42" s="175">
        <v>48.6</v>
      </c>
      <c r="N42" s="175">
        <v>54</v>
      </c>
      <c r="O42" s="175">
        <v>54</v>
      </c>
      <c r="P42" s="477">
        <v>54</v>
      </c>
    </row>
    <row r="43" spans="2:18" ht="15.75" x14ac:dyDescent="0.25">
      <c r="B43" s="794" t="s">
        <v>419</v>
      </c>
      <c r="C43" s="528"/>
      <c r="D43" s="528" t="s">
        <v>197</v>
      </c>
      <c r="E43" s="528"/>
      <c r="F43" s="180">
        <v>13.6</v>
      </c>
      <c r="G43" s="180">
        <v>11.3</v>
      </c>
      <c r="H43" s="180">
        <v>7.7</v>
      </c>
      <c r="I43" s="510">
        <v>4.5</v>
      </c>
      <c r="J43" s="545">
        <v>6</v>
      </c>
      <c r="K43" s="180">
        <v>0</v>
      </c>
      <c r="L43" s="180">
        <v>0</v>
      </c>
      <c r="M43" s="180">
        <v>0</v>
      </c>
      <c r="N43" s="180">
        <v>0</v>
      </c>
      <c r="O43" s="180">
        <v>0</v>
      </c>
      <c r="P43" s="480">
        <v>0</v>
      </c>
    </row>
    <row r="44" spans="2:18" ht="15.75" x14ac:dyDescent="0.25">
      <c r="B44" s="794" t="s">
        <v>418</v>
      </c>
      <c r="C44" s="528"/>
      <c r="D44" s="528" t="s">
        <v>197</v>
      </c>
      <c r="E44" s="528" t="s">
        <v>208</v>
      </c>
      <c r="F44" s="180">
        <v>2.2999999999999998</v>
      </c>
      <c r="G44" s="180">
        <v>0</v>
      </c>
      <c r="H44" s="180">
        <v>0</v>
      </c>
      <c r="I44" s="510">
        <v>0</v>
      </c>
      <c r="J44" s="545">
        <v>0</v>
      </c>
      <c r="K44" s="180">
        <v>0</v>
      </c>
      <c r="L44" s="180">
        <v>0</v>
      </c>
      <c r="M44" s="180">
        <v>0</v>
      </c>
      <c r="N44" s="180">
        <v>0</v>
      </c>
      <c r="O44" s="180">
        <v>0</v>
      </c>
      <c r="P44" s="480">
        <v>0</v>
      </c>
    </row>
    <row r="45" spans="2:18" ht="15.75" x14ac:dyDescent="0.25">
      <c r="B45" s="795" t="s">
        <v>397</v>
      </c>
      <c r="C45" s="499"/>
      <c r="D45" s="499" t="s">
        <v>199</v>
      </c>
      <c r="E45" s="499" t="s">
        <v>208</v>
      </c>
      <c r="F45" s="500">
        <v>12.6</v>
      </c>
      <c r="G45" s="500">
        <v>15.1</v>
      </c>
      <c r="H45" s="500">
        <v>14.5</v>
      </c>
      <c r="I45" s="512">
        <v>15</v>
      </c>
      <c r="J45" s="548">
        <v>13.4</v>
      </c>
      <c r="K45" s="500">
        <v>14.2</v>
      </c>
      <c r="L45" s="500">
        <v>14.2</v>
      </c>
      <c r="M45" s="500">
        <v>14.2</v>
      </c>
      <c r="N45" s="500">
        <v>14.2</v>
      </c>
      <c r="O45" s="500">
        <v>14.2</v>
      </c>
      <c r="P45" s="501">
        <v>14.2</v>
      </c>
    </row>
    <row r="46" spans="2:18" ht="15.75" x14ac:dyDescent="0.25">
      <c r="B46" s="796"/>
      <c r="C46" s="496" t="s">
        <v>399</v>
      </c>
      <c r="D46" s="495"/>
      <c r="E46" s="495"/>
      <c r="F46" s="497">
        <f t="shared" ref="F46:P46" si="6">SUM(F41:F45)</f>
        <v>145.6</v>
      </c>
      <c r="G46" s="497">
        <f t="shared" si="6"/>
        <v>132</v>
      </c>
      <c r="H46" s="497">
        <f t="shared" si="6"/>
        <v>121.4</v>
      </c>
      <c r="I46" s="513">
        <f t="shared" si="6"/>
        <v>94.1</v>
      </c>
      <c r="J46" s="549">
        <f t="shared" si="6"/>
        <v>75.400000000000006</v>
      </c>
      <c r="K46" s="497">
        <f t="shared" si="6"/>
        <v>73.5</v>
      </c>
      <c r="L46" s="497">
        <f t="shared" si="6"/>
        <v>88.3</v>
      </c>
      <c r="M46" s="497">
        <f t="shared" si="6"/>
        <v>104.9</v>
      </c>
      <c r="N46" s="497">
        <f t="shared" si="6"/>
        <v>109.2</v>
      </c>
      <c r="O46" s="497">
        <f t="shared" si="6"/>
        <v>108.2</v>
      </c>
      <c r="P46" s="498">
        <f t="shared" si="6"/>
        <v>106</v>
      </c>
    </row>
    <row r="47" spans="2:18" ht="15.75" x14ac:dyDescent="0.25">
      <c r="B47" s="797"/>
      <c r="C47" s="369"/>
      <c r="D47" s="484"/>
      <c r="E47" s="484"/>
      <c r="F47" s="475"/>
      <c r="G47" s="475"/>
      <c r="H47" s="475"/>
      <c r="I47" s="514"/>
      <c r="J47" s="506"/>
      <c r="K47" s="475"/>
      <c r="L47" s="475"/>
      <c r="M47" s="475"/>
      <c r="N47" s="475"/>
      <c r="O47" s="475"/>
      <c r="P47" s="478"/>
    </row>
    <row r="48" spans="2:18" ht="15.75" x14ac:dyDescent="0.25">
      <c r="B48" s="798" t="s">
        <v>390</v>
      </c>
      <c r="C48" s="485"/>
      <c r="D48" s="485" t="s">
        <v>420</v>
      </c>
      <c r="E48" s="530" t="s">
        <v>208</v>
      </c>
      <c r="F48" s="187">
        <v>116</v>
      </c>
      <c r="G48" s="187">
        <v>122.8</v>
      </c>
      <c r="H48" s="187">
        <v>115.9</v>
      </c>
      <c r="I48" s="515">
        <v>111.6</v>
      </c>
      <c r="J48" s="543">
        <v>116.6</v>
      </c>
      <c r="K48" s="187">
        <v>107.7</v>
      </c>
      <c r="L48" s="187">
        <v>97.9</v>
      </c>
      <c r="M48" s="187">
        <v>83.3</v>
      </c>
      <c r="N48" s="187">
        <v>80.099999999999994</v>
      </c>
      <c r="O48" s="187">
        <v>53.4</v>
      </c>
      <c r="P48" s="479">
        <v>22.3</v>
      </c>
      <c r="Q48" s="547"/>
      <c r="R48" t="s">
        <v>433</v>
      </c>
    </row>
    <row r="49" spans="2:18" ht="15.75" x14ac:dyDescent="0.25">
      <c r="B49" s="799" t="s">
        <v>391</v>
      </c>
      <c r="C49" s="467"/>
      <c r="D49" s="467" t="s">
        <v>199</v>
      </c>
      <c r="E49" s="467" t="s">
        <v>208</v>
      </c>
      <c r="F49" s="175">
        <v>6</v>
      </c>
      <c r="G49" s="175">
        <v>6.9</v>
      </c>
      <c r="H49" s="175">
        <v>5.2</v>
      </c>
      <c r="I49" s="511">
        <v>5.5</v>
      </c>
      <c r="J49" s="544">
        <v>4</v>
      </c>
      <c r="K49" s="175">
        <v>6</v>
      </c>
      <c r="L49" s="175">
        <v>6</v>
      </c>
      <c r="M49" s="175">
        <v>6</v>
      </c>
      <c r="N49" s="175">
        <v>6</v>
      </c>
      <c r="O49" s="175">
        <v>6</v>
      </c>
      <c r="P49" s="477">
        <v>6</v>
      </c>
      <c r="Q49" s="547"/>
      <c r="R49" t="s">
        <v>434</v>
      </c>
    </row>
    <row r="50" spans="2:18" ht="15.75" x14ac:dyDescent="0.25">
      <c r="B50" s="799" t="s">
        <v>392</v>
      </c>
      <c r="C50" s="467"/>
      <c r="D50" s="467" t="s">
        <v>199</v>
      </c>
      <c r="E50" s="467" t="s">
        <v>208</v>
      </c>
      <c r="F50" s="175">
        <v>55</v>
      </c>
      <c r="G50" s="175">
        <v>51.5</v>
      </c>
      <c r="H50" s="175">
        <v>47.5</v>
      </c>
      <c r="I50" s="511">
        <v>50</v>
      </c>
      <c r="J50" s="544">
        <v>46</v>
      </c>
      <c r="K50" s="175">
        <v>49.5</v>
      </c>
      <c r="L50" s="175">
        <v>49.5</v>
      </c>
      <c r="M50" s="175">
        <v>49.5</v>
      </c>
      <c r="N50" s="175">
        <v>49.5</v>
      </c>
      <c r="O50" s="175">
        <v>49.5</v>
      </c>
      <c r="P50" s="176">
        <v>49.5</v>
      </c>
      <c r="Q50" s="547"/>
      <c r="R50" t="s">
        <v>432</v>
      </c>
    </row>
    <row r="51" spans="2:18" ht="15.75" x14ac:dyDescent="0.25">
      <c r="B51" s="799" t="s">
        <v>393</v>
      </c>
      <c r="C51" s="467"/>
      <c r="D51" s="467" t="s">
        <v>199</v>
      </c>
      <c r="E51" s="467" t="s">
        <v>208</v>
      </c>
      <c r="F51" s="175">
        <v>3</v>
      </c>
      <c r="G51" s="175">
        <v>3.5</v>
      </c>
      <c r="H51" s="175">
        <v>1.2</v>
      </c>
      <c r="I51" s="511">
        <v>3</v>
      </c>
      <c r="J51" s="544">
        <v>4</v>
      </c>
      <c r="K51" s="175">
        <v>3</v>
      </c>
      <c r="L51" s="175">
        <v>3</v>
      </c>
      <c r="M51" s="175">
        <v>3</v>
      </c>
      <c r="N51" s="175">
        <v>3</v>
      </c>
      <c r="O51" s="175">
        <v>3</v>
      </c>
      <c r="P51" s="477">
        <v>3</v>
      </c>
      <c r="Q51" s="547"/>
      <c r="R51" t="s">
        <v>431</v>
      </c>
    </row>
    <row r="52" spans="2:18" ht="15.75" x14ac:dyDescent="0.25">
      <c r="B52" s="800" t="s">
        <v>394</v>
      </c>
      <c r="C52" s="467"/>
      <c r="D52" s="357" t="s">
        <v>199</v>
      </c>
      <c r="E52" s="357" t="s">
        <v>19</v>
      </c>
      <c r="F52" s="180">
        <v>22.5</v>
      </c>
      <c r="G52" s="180">
        <v>43.1</v>
      </c>
      <c r="H52" s="180">
        <v>22.4</v>
      </c>
      <c r="I52" s="510">
        <v>30.5</v>
      </c>
      <c r="J52" s="545">
        <v>17</v>
      </c>
      <c r="K52" s="180">
        <v>32</v>
      </c>
      <c r="L52" s="180">
        <v>32</v>
      </c>
      <c r="M52" s="180">
        <v>54</v>
      </c>
      <c r="N52" s="180">
        <v>54</v>
      </c>
      <c r="O52" s="180">
        <v>54</v>
      </c>
      <c r="P52" s="480">
        <v>54</v>
      </c>
      <c r="Q52" s="547"/>
      <c r="R52" t="s">
        <v>430</v>
      </c>
    </row>
    <row r="53" spans="2:18" ht="15.75" x14ac:dyDescent="0.25">
      <c r="B53" s="796"/>
      <c r="C53" s="483" t="s">
        <v>400</v>
      </c>
      <c r="D53" s="487"/>
      <c r="E53" s="487"/>
      <c r="F53" s="538">
        <f>SUM(F48:F52)</f>
        <v>202.5</v>
      </c>
      <c r="G53" s="538">
        <f t="shared" ref="G53" si="7">SUM(G48:G52)</f>
        <v>227.79999999999998</v>
      </c>
      <c r="H53" s="538">
        <f t="shared" ref="H53" si="8">SUM(H48:H52)</f>
        <v>192.20000000000002</v>
      </c>
      <c r="I53" s="539">
        <f t="shared" ref="I53" si="9">SUM(I48:I52)</f>
        <v>200.6</v>
      </c>
      <c r="J53" s="542">
        <f>SUM(J48:J52)</f>
        <v>187.6</v>
      </c>
      <c r="K53" s="538">
        <f t="shared" ref="K53" si="10">SUM(K48:K52)</f>
        <v>198.2</v>
      </c>
      <c r="L53" s="538">
        <f t="shared" ref="L53" si="11">SUM(L48:L52)</f>
        <v>188.4</v>
      </c>
      <c r="M53" s="538">
        <f t="shared" ref="M53" si="12">SUM(M48:M52)</f>
        <v>195.8</v>
      </c>
      <c r="N53" s="538">
        <f t="shared" ref="N53" si="13">SUM(N48:N52)</f>
        <v>192.6</v>
      </c>
      <c r="O53" s="538">
        <f t="shared" ref="O53" si="14">SUM(O48:O52)</f>
        <v>165.9</v>
      </c>
      <c r="P53" s="541">
        <f t="shared" ref="P53" si="15">SUM(P48:P52)</f>
        <v>134.80000000000001</v>
      </c>
      <c r="Q53" s="546"/>
      <c r="R53" t="s">
        <v>496</v>
      </c>
    </row>
    <row r="54" spans="2:18" ht="15.75" x14ac:dyDescent="0.25">
      <c r="B54" s="185"/>
      <c r="C54" s="485"/>
      <c r="D54" s="486"/>
      <c r="E54" s="486"/>
      <c r="F54" s="187"/>
      <c r="G54" s="187"/>
      <c r="H54" s="187"/>
      <c r="I54" s="515"/>
      <c r="J54" s="507"/>
      <c r="K54" s="187"/>
      <c r="L54" s="187"/>
      <c r="M54" s="187"/>
      <c r="N54" s="187"/>
      <c r="O54" s="187"/>
      <c r="P54" s="479"/>
    </row>
    <row r="55" spans="2:18" ht="15.75" x14ac:dyDescent="0.25">
      <c r="B55" s="260" t="s">
        <v>401</v>
      </c>
      <c r="C55" s="519" t="s">
        <v>398</v>
      </c>
      <c r="D55" s="467" t="s">
        <v>199</v>
      </c>
      <c r="E55" s="467" t="s">
        <v>350</v>
      </c>
      <c r="F55" s="175">
        <v>34.200000000000003</v>
      </c>
      <c r="G55" s="175">
        <v>34.9</v>
      </c>
      <c r="H55" s="175">
        <v>36.200000000000003</v>
      </c>
      <c r="I55" s="511">
        <v>36.700000000000003</v>
      </c>
      <c r="J55" s="503">
        <v>36.5</v>
      </c>
      <c r="K55" s="175">
        <v>20</v>
      </c>
      <c r="L55" s="175">
        <v>30</v>
      </c>
      <c r="M55" s="175">
        <v>35</v>
      </c>
      <c r="N55" s="175">
        <v>35</v>
      </c>
      <c r="O55" s="175">
        <v>35</v>
      </c>
      <c r="P55" s="477">
        <v>35</v>
      </c>
    </row>
    <row r="56" spans="2:18" ht="16.5" thickBot="1" x14ac:dyDescent="0.3">
      <c r="B56" s="801" t="s">
        <v>48</v>
      </c>
      <c r="C56" s="488"/>
      <c r="D56" s="489"/>
      <c r="E56" s="489"/>
      <c r="F56" s="192">
        <v>15</v>
      </c>
      <c r="G56" s="192">
        <v>15</v>
      </c>
      <c r="H56" s="192">
        <v>15</v>
      </c>
      <c r="I56" s="516">
        <v>15</v>
      </c>
      <c r="J56" s="508">
        <v>15</v>
      </c>
      <c r="K56" s="192">
        <v>12</v>
      </c>
      <c r="L56" s="192">
        <v>12</v>
      </c>
      <c r="M56" s="192">
        <v>12</v>
      </c>
      <c r="N56" s="192">
        <v>12</v>
      </c>
      <c r="O56" s="192">
        <v>12</v>
      </c>
      <c r="P56" s="481">
        <v>12</v>
      </c>
      <c r="R56" t="s">
        <v>426</v>
      </c>
    </row>
    <row r="57" spans="2:18" ht="15.75" x14ac:dyDescent="0.25">
      <c r="B57" s="802" t="s">
        <v>15</v>
      </c>
      <c r="C57" s="490"/>
      <c r="D57" s="491"/>
      <c r="E57" s="492"/>
      <c r="F57" s="493">
        <f>+F46+F53+F55+F56</f>
        <v>397.3</v>
      </c>
      <c r="G57" s="198">
        <f t="shared" ref="G57" si="16">+G46+G53+G55+G56</f>
        <v>409.69999999999993</v>
      </c>
      <c r="H57" s="198">
        <f t="shared" ref="H57" si="17">+H46+H53+H55+H56</f>
        <v>364.8</v>
      </c>
      <c r="I57" s="517">
        <f t="shared" ref="I57" si="18">+I46+I53+I55+I56</f>
        <v>346.4</v>
      </c>
      <c r="J57" s="509">
        <f t="shared" ref="J57" si="19">+J46+J53+J55+J56</f>
        <v>314.5</v>
      </c>
      <c r="K57" s="198">
        <f t="shared" ref="K57" si="20">+K46+K53+K55+K56</f>
        <v>303.7</v>
      </c>
      <c r="L57" s="198">
        <f t="shared" ref="L57" si="21">+L46+L53+L55+L56</f>
        <v>318.7</v>
      </c>
      <c r="M57" s="198">
        <f t="shared" ref="M57" si="22">+M46+M53+M55+M56</f>
        <v>347.70000000000005</v>
      </c>
      <c r="N57" s="198">
        <f t="shared" ref="N57" si="23">+N46+N53+N55+N56</f>
        <v>348.8</v>
      </c>
      <c r="O57" s="198">
        <f t="shared" ref="O57" si="24">+O46+O53+O55+O56</f>
        <v>321.10000000000002</v>
      </c>
      <c r="P57" s="482">
        <f t="shared" ref="P57" si="25">+P46+P53+P55+P56</f>
        <v>287.8</v>
      </c>
    </row>
    <row r="58" spans="2:18" ht="15.75" x14ac:dyDescent="0.25">
      <c r="B58" s="803" t="s">
        <v>424</v>
      </c>
      <c r="C58" s="529"/>
      <c r="D58" s="492"/>
      <c r="E58" s="492"/>
      <c r="F58" s="533">
        <f>+F60-F57</f>
        <v>31.699999999999989</v>
      </c>
      <c r="G58" s="533">
        <f t="shared" ref="G58" si="26">+G60-G57</f>
        <v>2.3000000000000682</v>
      </c>
      <c r="H58" s="533">
        <f t="shared" ref="H58" si="27">+H60-H57</f>
        <v>12.199999999999989</v>
      </c>
      <c r="I58" s="536">
        <f t="shared" ref="I58" si="28">+I60-I57</f>
        <v>25.600000000000023</v>
      </c>
      <c r="J58" s="537">
        <f t="shared" ref="J58" si="29">+J60-J57</f>
        <v>2.5</v>
      </c>
      <c r="K58" s="411">
        <v>20</v>
      </c>
      <c r="L58" s="411">
        <v>20</v>
      </c>
      <c r="M58" s="411">
        <v>20</v>
      </c>
      <c r="N58" s="411">
        <v>20</v>
      </c>
      <c r="O58" s="411">
        <v>20</v>
      </c>
      <c r="P58" s="412">
        <v>20</v>
      </c>
      <c r="R58" t="s">
        <v>435</v>
      </c>
    </row>
    <row r="59" spans="2:18" ht="15.75" x14ac:dyDescent="0.25">
      <c r="B59" s="803"/>
      <c r="C59" s="529"/>
      <c r="D59" s="492"/>
      <c r="E59" s="492"/>
      <c r="F59" s="493"/>
      <c r="G59" s="475"/>
      <c r="H59" s="475"/>
      <c r="I59" s="514"/>
      <c r="J59" s="506"/>
      <c r="K59" s="475"/>
      <c r="L59" s="475"/>
      <c r="M59" s="475"/>
      <c r="N59" s="475"/>
      <c r="O59" s="475"/>
      <c r="P59" s="476"/>
      <c r="R59" t="s">
        <v>436</v>
      </c>
    </row>
    <row r="60" spans="2:18" ht="15.75" x14ac:dyDescent="0.25">
      <c r="B60" s="803" t="s">
        <v>15</v>
      </c>
      <c r="C60" s="529"/>
      <c r="D60" s="492"/>
      <c r="E60" s="492"/>
      <c r="F60" s="533">
        <v>429</v>
      </c>
      <c r="G60" s="411">
        <v>412</v>
      </c>
      <c r="H60" s="411">
        <v>377</v>
      </c>
      <c r="I60" s="534">
        <v>372</v>
      </c>
      <c r="J60" s="535">
        <v>317</v>
      </c>
      <c r="K60" s="411">
        <f>+K58+K57</f>
        <v>323.7</v>
      </c>
      <c r="L60" s="411">
        <f t="shared" ref="L60:P60" si="30">+L58+L57</f>
        <v>338.7</v>
      </c>
      <c r="M60" s="411">
        <f t="shared" si="30"/>
        <v>367.70000000000005</v>
      </c>
      <c r="N60" s="411">
        <f t="shared" si="30"/>
        <v>368.8</v>
      </c>
      <c r="O60" s="411">
        <f t="shared" si="30"/>
        <v>341.1</v>
      </c>
      <c r="P60" s="412">
        <f t="shared" si="30"/>
        <v>307.8</v>
      </c>
    </row>
    <row r="61" spans="2:18" x14ac:dyDescent="0.25">
      <c r="B61" s="259"/>
      <c r="C61" s="291"/>
      <c r="D61" s="2"/>
      <c r="E61" s="2"/>
      <c r="F61" s="2"/>
      <c r="G61" s="2"/>
      <c r="H61" s="2"/>
      <c r="I61" s="518"/>
      <c r="J61" s="259"/>
      <c r="K61" s="2"/>
      <c r="L61" s="2"/>
      <c r="M61" s="2"/>
      <c r="N61" s="2"/>
      <c r="O61" s="2"/>
    </row>
    <row r="64" spans="2:18" ht="18.75" x14ac:dyDescent="0.3">
      <c r="B64" s="280" t="s">
        <v>211</v>
      </c>
      <c r="C64"/>
      <c r="D64" s="166"/>
      <c r="E64" s="166"/>
    </row>
    <row r="65" spans="2:16" x14ac:dyDescent="0.25">
      <c r="C65"/>
      <c r="D65" s="166"/>
      <c r="E65" s="166"/>
    </row>
    <row r="66" spans="2:16" ht="15.75" x14ac:dyDescent="0.25">
      <c r="B66" t="s">
        <v>212</v>
      </c>
      <c r="C66" s="296">
        <v>51.6</v>
      </c>
      <c r="D66" s="166"/>
      <c r="E66" s="11" t="s">
        <v>209</v>
      </c>
      <c r="F66" t="s">
        <v>249</v>
      </c>
    </row>
    <row r="67" spans="2:16" ht="15.75" x14ac:dyDescent="0.25">
      <c r="B67" t="s">
        <v>213</v>
      </c>
      <c r="C67" s="297">
        <v>49</v>
      </c>
      <c r="D67" s="166"/>
      <c r="E67" s="11" t="s">
        <v>201</v>
      </c>
      <c r="F67" t="s">
        <v>292</v>
      </c>
    </row>
    <row r="68" spans="2:16" ht="15.75" x14ac:dyDescent="0.25">
      <c r="B68" t="s">
        <v>302</v>
      </c>
      <c r="C68" s="298">
        <v>36</v>
      </c>
      <c r="D68" s="166"/>
      <c r="E68" s="166"/>
    </row>
    <row r="69" spans="2:16" x14ac:dyDescent="0.25">
      <c r="C69"/>
      <c r="D69" s="166"/>
      <c r="E69" s="166"/>
    </row>
    <row r="70" spans="2:16" ht="15.75" x14ac:dyDescent="0.25">
      <c r="C70"/>
      <c r="D70" s="166"/>
      <c r="E70" s="6" t="s">
        <v>206</v>
      </c>
      <c r="F70" s="6">
        <v>2012</v>
      </c>
      <c r="G70" s="6">
        <f>+F70+1</f>
        <v>2013</v>
      </c>
      <c r="H70" s="6">
        <f t="shared" ref="H70:P70" si="31">+G70+1</f>
        <v>2014</v>
      </c>
      <c r="I70" s="7">
        <f t="shared" si="31"/>
        <v>2015</v>
      </c>
      <c r="J70" s="8">
        <f t="shared" si="31"/>
        <v>2016</v>
      </c>
      <c r="K70" s="6">
        <f t="shared" si="31"/>
        <v>2017</v>
      </c>
      <c r="L70" s="6">
        <f t="shared" si="31"/>
        <v>2018</v>
      </c>
      <c r="M70" s="6">
        <f t="shared" si="31"/>
        <v>2019</v>
      </c>
      <c r="N70" s="6">
        <f t="shared" si="31"/>
        <v>2020</v>
      </c>
      <c r="O70" s="6">
        <f t="shared" si="31"/>
        <v>2021</v>
      </c>
      <c r="P70" s="6">
        <f t="shared" si="31"/>
        <v>2022</v>
      </c>
    </row>
    <row r="71" spans="2:16" x14ac:dyDescent="0.25">
      <c r="C71"/>
      <c r="D71" s="166"/>
      <c r="E71" s="276" t="s">
        <v>207</v>
      </c>
      <c r="F71" s="2"/>
      <c r="G71" s="2"/>
      <c r="H71" s="2"/>
      <c r="I71" s="3"/>
      <c r="J71" s="4"/>
      <c r="K71" s="2"/>
      <c r="L71" s="2"/>
      <c r="M71" s="2"/>
      <c r="N71" s="2"/>
      <c r="O71" s="2"/>
      <c r="P71" s="2"/>
    </row>
    <row r="72" spans="2:16" ht="15.75" x14ac:dyDescent="0.25">
      <c r="C72"/>
      <c r="D72" s="166"/>
      <c r="E72" s="11" t="s">
        <v>208</v>
      </c>
      <c r="F72" s="398">
        <f>+F60-F73</f>
        <v>383.15</v>
      </c>
      <c r="G72" s="463">
        <f t="shared" ref="G72:P72" si="32">+G60-G73</f>
        <v>360.24999999999994</v>
      </c>
      <c r="H72" s="463">
        <f t="shared" si="32"/>
        <v>341</v>
      </c>
      <c r="I72" s="464">
        <f t="shared" si="32"/>
        <v>321.2</v>
      </c>
      <c r="J72" s="465">
        <f t="shared" si="32"/>
        <v>291.25</v>
      </c>
      <c r="K72" s="463">
        <f t="shared" si="32"/>
        <v>275.7</v>
      </c>
      <c r="L72" s="463">
        <f t="shared" si="32"/>
        <v>290.7</v>
      </c>
      <c r="M72" s="463">
        <f t="shared" si="32"/>
        <v>297.70000000000005</v>
      </c>
      <c r="N72" s="463">
        <f t="shared" si="32"/>
        <v>298.8</v>
      </c>
      <c r="O72" s="463">
        <f t="shared" si="32"/>
        <v>271.10000000000002</v>
      </c>
      <c r="P72" s="463">
        <f t="shared" si="32"/>
        <v>237.8</v>
      </c>
    </row>
    <row r="73" spans="2:16" ht="15.75" x14ac:dyDescent="0.25">
      <c r="C73"/>
      <c r="D73" s="166"/>
      <c r="E73" s="11" t="s">
        <v>19</v>
      </c>
      <c r="F73" s="463">
        <f>+F58*0.5+F56*0.5+F52</f>
        <v>45.849999999999994</v>
      </c>
      <c r="G73" s="463">
        <f t="shared" ref="G73:P73" si="33">+G58*0.5+G56*0.5+G52</f>
        <v>51.750000000000036</v>
      </c>
      <c r="H73" s="463">
        <f t="shared" si="33"/>
        <v>35.999999999999993</v>
      </c>
      <c r="I73" s="464">
        <f t="shared" si="33"/>
        <v>50.800000000000011</v>
      </c>
      <c r="J73" s="465">
        <f t="shared" si="33"/>
        <v>25.75</v>
      </c>
      <c r="K73" s="463">
        <f t="shared" si="33"/>
        <v>48</v>
      </c>
      <c r="L73" s="463">
        <f t="shared" si="33"/>
        <v>48</v>
      </c>
      <c r="M73" s="463">
        <f t="shared" si="33"/>
        <v>70</v>
      </c>
      <c r="N73" s="463">
        <f t="shared" si="33"/>
        <v>70</v>
      </c>
      <c r="O73" s="463">
        <f t="shared" si="33"/>
        <v>70</v>
      </c>
      <c r="P73" s="463">
        <f t="shared" si="33"/>
        <v>70</v>
      </c>
    </row>
    <row r="74" spans="2:16" x14ac:dyDescent="0.25">
      <c r="E74" t="s">
        <v>451</v>
      </c>
    </row>
    <row r="118" spans="18:18" ht="18.75" x14ac:dyDescent="0.3">
      <c r="R118" s="280" t="s">
        <v>214</v>
      </c>
    </row>
    <row r="121" spans="18:18" x14ac:dyDescent="0.25">
      <c r="R121" t="s">
        <v>367</v>
      </c>
    </row>
    <row r="123" spans="18:18" x14ac:dyDescent="0.25">
      <c r="R123" t="s">
        <v>366</v>
      </c>
    </row>
    <row r="124" spans="18:18" x14ac:dyDescent="0.25">
      <c r="R124" t="s">
        <v>368</v>
      </c>
    </row>
    <row r="138" spans="18:18" x14ac:dyDescent="0.25">
      <c r="R138" t="s">
        <v>369</v>
      </c>
    </row>
    <row r="139" spans="18:18" x14ac:dyDescent="0.25">
      <c r="R139" t="s">
        <v>370</v>
      </c>
    </row>
    <row r="140" spans="18:18" x14ac:dyDescent="0.25">
      <c r="R140" t="s">
        <v>371</v>
      </c>
    </row>
    <row r="141" spans="18:18" x14ac:dyDescent="0.25">
      <c r="R141" t="s">
        <v>372</v>
      </c>
    </row>
    <row r="144" spans="18:18" x14ac:dyDescent="0.25">
      <c r="R144" t="s">
        <v>373</v>
      </c>
    </row>
    <row r="145" spans="18:18" x14ac:dyDescent="0.25">
      <c r="R145" t="s">
        <v>369</v>
      </c>
    </row>
    <row r="151" spans="18:18" x14ac:dyDescent="0.25">
      <c r="R151" t="s">
        <v>319</v>
      </c>
    </row>
    <row r="152" spans="18:18" x14ac:dyDescent="0.25">
      <c r="R152" t="s">
        <v>378</v>
      </c>
    </row>
    <row r="153" spans="18:18" x14ac:dyDescent="0.25">
      <c r="R153" t="s">
        <v>381</v>
      </c>
    </row>
    <row r="154" spans="18:18" x14ac:dyDescent="0.25">
      <c r="R154" t="s">
        <v>383</v>
      </c>
    </row>
    <row r="156" spans="18:18" x14ac:dyDescent="0.25">
      <c r="R156" t="s">
        <v>384</v>
      </c>
    </row>
  </sheetData>
  <mergeCells count="24">
    <mergeCell ref="P39:P40"/>
    <mergeCell ref="B39:B40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O39:O40"/>
    <mergeCell ref="P5:P6"/>
    <mergeCell ref="B5:B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</mergeCells>
  <pageMargins left="0.7" right="0.7" top="0.75" bottom="0.75" header="0.3" footer="0.3"/>
  <ignoredErrors>
    <ignoredError sqref="F46 L46 G46:K46 M46:P46 F12:P1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1"/>
  <sheetViews>
    <sheetView workbookViewId="0"/>
  </sheetViews>
  <sheetFormatPr defaultRowHeight="15" x14ac:dyDescent="0.25"/>
  <cols>
    <col min="2" max="2" width="18.85546875" customWidth="1"/>
    <col min="3" max="3" width="21.140625" customWidth="1"/>
    <col min="4" max="4" width="20.7109375" customWidth="1"/>
    <col min="5" max="6" width="16.7109375" customWidth="1"/>
    <col min="20" max="20" width="65.85546875" customWidth="1"/>
  </cols>
  <sheetData>
    <row r="1" spans="2:17" ht="18.75" x14ac:dyDescent="0.3">
      <c r="B1" s="266" t="s">
        <v>559</v>
      </c>
      <c r="I1" s="266" t="s">
        <v>562</v>
      </c>
    </row>
    <row r="4" spans="2:17" ht="18.75" x14ac:dyDescent="0.3">
      <c r="B4" s="266" t="s">
        <v>500</v>
      </c>
    </row>
    <row r="5" spans="2:17" x14ac:dyDescent="0.25">
      <c r="C5" s="2"/>
      <c r="D5" s="2"/>
      <c r="E5" s="2"/>
      <c r="F5" s="2"/>
      <c r="G5" s="2"/>
      <c r="H5" s="2"/>
      <c r="I5" s="2"/>
      <c r="J5" s="3"/>
      <c r="K5" s="4"/>
      <c r="L5" s="2"/>
      <c r="M5" s="2"/>
      <c r="N5" s="2"/>
      <c r="O5" s="2"/>
      <c r="P5" s="2"/>
    </row>
    <row r="6" spans="2:17" ht="15.75" x14ac:dyDescent="0.25">
      <c r="B6" s="556" t="s">
        <v>437</v>
      </c>
      <c r="C6" s="558" t="s">
        <v>0</v>
      </c>
      <c r="D6" s="558" t="s">
        <v>1</v>
      </c>
      <c r="E6" s="558" t="s">
        <v>2</v>
      </c>
      <c r="F6" s="558" t="s">
        <v>206</v>
      </c>
      <c r="G6" s="558">
        <v>2012</v>
      </c>
      <c r="H6" s="558">
        <v>2013</v>
      </c>
      <c r="I6" s="558">
        <v>2014</v>
      </c>
      <c r="J6" s="591">
        <v>2015</v>
      </c>
      <c r="K6" s="598">
        <v>2016</v>
      </c>
      <c r="L6" s="558">
        <v>2017</v>
      </c>
      <c r="M6" s="558">
        <v>2018</v>
      </c>
      <c r="N6" s="558">
        <v>2019</v>
      </c>
      <c r="O6" s="558">
        <v>2020</v>
      </c>
      <c r="P6" s="558">
        <v>2021</v>
      </c>
      <c r="Q6" s="556">
        <v>2022</v>
      </c>
    </row>
    <row r="7" spans="2:17" ht="16.5" thickBot="1" x14ac:dyDescent="0.3">
      <c r="B7" s="555"/>
      <c r="C7" s="558"/>
      <c r="D7" s="558"/>
      <c r="E7" s="558"/>
      <c r="F7" s="558" t="s">
        <v>207</v>
      </c>
      <c r="G7" s="558"/>
      <c r="H7" s="558"/>
      <c r="I7" s="558"/>
      <c r="J7" s="591"/>
      <c r="K7" s="598"/>
      <c r="L7" s="558"/>
      <c r="M7" s="558"/>
      <c r="N7" s="558"/>
      <c r="O7" s="558"/>
      <c r="P7" s="558"/>
      <c r="Q7" s="556"/>
    </row>
    <row r="8" spans="2:17" ht="15.75" x14ac:dyDescent="0.25">
      <c r="B8" s="576" t="s">
        <v>438</v>
      </c>
      <c r="C8" s="560" t="s">
        <v>439</v>
      </c>
      <c r="D8" s="561" t="s">
        <v>82</v>
      </c>
      <c r="E8" s="561" t="s">
        <v>199</v>
      </c>
      <c r="F8" s="561" t="s">
        <v>350</v>
      </c>
      <c r="G8" s="561">
        <v>33.5</v>
      </c>
      <c r="H8" s="561">
        <v>32</v>
      </c>
      <c r="I8" s="561">
        <v>27.5</v>
      </c>
      <c r="J8" s="592">
        <v>29.5</v>
      </c>
      <c r="K8" s="599">
        <v>24</v>
      </c>
      <c r="L8" s="561">
        <v>30.5</v>
      </c>
      <c r="M8" s="561">
        <v>30.5</v>
      </c>
      <c r="N8" s="561">
        <v>30.5</v>
      </c>
      <c r="O8" s="561">
        <v>30.5</v>
      </c>
      <c r="P8" s="561">
        <v>23.5</v>
      </c>
      <c r="Q8" s="562">
        <v>23.5</v>
      </c>
    </row>
    <row r="9" spans="2:17" ht="15.75" x14ac:dyDescent="0.25">
      <c r="B9" s="555"/>
      <c r="C9" s="563" t="s">
        <v>440</v>
      </c>
      <c r="D9" s="564" t="s">
        <v>452</v>
      </c>
      <c r="E9" s="564" t="s">
        <v>197</v>
      </c>
      <c r="F9" s="564" t="s">
        <v>461</v>
      </c>
      <c r="G9" s="564">
        <v>5</v>
      </c>
      <c r="H9" s="564">
        <v>12.3</v>
      </c>
      <c r="I9" s="564">
        <v>13.6</v>
      </c>
      <c r="J9" s="593">
        <v>4.3</v>
      </c>
      <c r="K9" s="600">
        <v>0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5">
        <v>0</v>
      </c>
    </row>
    <row r="10" spans="2:17" ht="15.75" x14ac:dyDescent="0.25">
      <c r="B10" s="577" t="s">
        <v>441</v>
      </c>
      <c r="C10" s="569" t="s">
        <v>442</v>
      </c>
      <c r="D10" s="303" t="s">
        <v>457</v>
      </c>
      <c r="E10" s="303" t="s">
        <v>199</v>
      </c>
      <c r="F10" s="303" t="s">
        <v>208</v>
      </c>
      <c r="G10" s="303">
        <v>20</v>
      </c>
      <c r="H10" s="303">
        <v>23</v>
      </c>
      <c r="I10" s="303">
        <v>36.700000000000003</v>
      </c>
      <c r="J10" s="594">
        <v>37.9</v>
      </c>
      <c r="K10" s="601">
        <v>28.4</v>
      </c>
      <c r="L10" s="303">
        <v>32</v>
      </c>
      <c r="M10" s="303">
        <v>32</v>
      </c>
      <c r="N10" s="303">
        <v>32</v>
      </c>
      <c r="O10" s="303">
        <v>32</v>
      </c>
      <c r="P10" s="303">
        <v>32</v>
      </c>
      <c r="Q10" s="305">
        <v>32</v>
      </c>
    </row>
    <row r="11" spans="2:17" ht="15.75" x14ac:dyDescent="0.25">
      <c r="B11" s="555" t="s">
        <v>443</v>
      </c>
      <c r="C11" s="559" t="s">
        <v>444</v>
      </c>
      <c r="D11" s="67" t="s">
        <v>458</v>
      </c>
      <c r="E11" s="67" t="s">
        <v>199</v>
      </c>
      <c r="F11" s="67" t="s">
        <v>208</v>
      </c>
      <c r="G11" s="67">
        <v>26</v>
      </c>
      <c r="H11" s="67">
        <v>25</v>
      </c>
      <c r="I11" s="67">
        <v>29.5</v>
      </c>
      <c r="J11" s="595">
        <v>23</v>
      </c>
      <c r="K11" s="602">
        <v>23</v>
      </c>
      <c r="L11" s="67">
        <v>17</v>
      </c>
      <c r="M11" s="67">
        <v>23</v>
      </c>
      <c r="N11" s="67">
        <v>30</v>
      </c>
      <c r="O11" s="67">
        <v>30</v>
      </c>
      <c r="P11" s="67">
        <v>30</v>
      </c>
      <c r="Q11" s="69">
        <v>30</v>
      </c>
    </row>
    <row r="12" spans="2:17" ht="15.75" x14ac:dyDescent="0.25">
      <c r="B12" s="578" t="s">
        <v>445</v>
      </c>
      <c r="C12" s="569" t="s">
        <v>446</v>
      </c>
      <c r="D12" s="303" t="s">
        <v>453</v>
      </c>
      <c r="E12" s="303" t="s">
        <v>199</v>
      </c>
      <c r="F12" s="303" t="s">
        <v>208</v>
      </c>
      <c r="G12" s="303">
        <v>0</v>
      </c>
      <c r="H12" s="303">
        <v>1.2</v>
      </c>
      <c r="I12" s="303">
        <v>13.4</v>
      </c>
      <c r="J12" s="594">
        <v>14.8</v>
      </c>
      <c r="K12" s="601">
        <v>10.5</v>
      </c>
      <c r="L12" s="303">
        <v>15.3</v>
      </c>
      <c r="M12" s="303">
        <v>15.3</v>
      </c>
      <c r="N12" s="303">
        <v>15</v>
      </c>
      <c r="O12" s="303">
        <v>18.7</v>
      </c>
      <c r="P12" s="303">
        <v>10.5</v>
      </c>
      <c r="Q12" s="305">
        <v>13.5</v>
      </c>
    </row>
    <row r="13" spans="2:17" ht="15.75" x14ac:dyDescent="0.25">
      <c r="B13" s="555" t="s">
        <v>464</v>
      </c>
      <c r="C13" s="566" t="s">
        <v>459</v>
      </c>
      <c r="D13" s="567" t="s">
        <v>82</v>
      </c>
      <c r="E13" s="567" t="s">
        <v>199</v>
      </c>
      <c r="F13" s="567" t="s">
        <v>208</v>
      </c>
      <c r="G13" s="567">
        <v>65</v>
      </c>
      <c r="H13" s="567">
        <v>67</v>
      </c>
      <c r="I13" s="567">
        <v>65</v>
      </c>
      <c r="J13" s="596">
        <v>65</v>
      </c>
      <c r="K13" s="603">
        <v>65</v>
      </c>
      <c r="L13" s="567">
        <v>65</v>
      </c>
      <c r="M13" s="567">
        <v>65</v>
      </c>
      <c r="N13" s="567">
        <v>65</v>
      </c>
      <c r="O13" s="567">
        <v>65</v>
      </c>
      <c r="P13" s="567">
        <v>65</v>
      </c>
      <c r="Q13" s="568">
        <v>65</v>
      </c>
    </row>
    <row r="14" spans="2:17" ht="15.75" x14ac:dyDescent="0.25">
      <c r="B14" s="555"/>
      <c r="C14" s="563" t="s">
        <v>71</v>
      </c>
      <c r="D14" s="564" t="s">
        <v>454</v>
      </c>
      <c r="E14" s="564" t="s">
        <v>199</v>
      </c>
      <c r="F14" s="564" t="s">
        <v>19</v>
      </c>
      <c r="G14" s="564">
        <v>165</v>
      </c>
      <c r="H14" s="564">
        <v>170</v>
      </c>
      <c r="I14" s="564">
        <v>174</v>
      </c>
      <c r="J14" s="593">
        <v>194</v>
      </c>
      <c r="K14" s="600">
        <v>220</v>
      </c>
      <c r="L14" s="564">
        <v>230</v>
      </c>
      <c r="M14" s="564">
        <v>230</v>
      </c>
      <c r="N14" s="564">
        <v>230</v>
      </c>
      <c r="O14" s="564">
        <v>230</v>
      </c>
      <c r="P14" s="564">
        <v>230</v>
      </c>
      <c r="Q14" s="565">
        <v>230</v>
      </c>
    </row>
    <row r="15" spans="2:17" ht="15.75" x14ac:dyDescent="0.25">
      <c r="B15" s="831" t="s">
        <v>447</v>
      </c>
      <c r="C15" s="570" t="s">
        <v>448</v>
      </c>
      <c r="D15" s="571" t="s">
        <v>455</v>
      </c>
      <c r="E15" s="571" t="s">
        <v>199</v>
      </c>
      <c r="F15" s="571" t="s">
        <v>208</v>
      </c>
      <c r="G15" s="833">
        <v>164.3</v>
      </c>
      <c r="H15" s="833">
        <v>152.1</v>
      </c>
      <c r="I15" s="833">
        <v>159</v>
      </c>
      <c r="J15" s="835">
        <v>160</v>
      </c>
      <c r="K15" s="837">
        <v>165</v>
      </c>
      <c r="L15" s="833">
        <v>160</v>
      </c>
      <c r="M15" s="833">
        <v>155</v>
      </c>
      <c r="N15" s="833">
        <v>150</v>
      </c>
      <c r="O15" s="833">
        <v>150</v>
      </c>
      <c r="P15" s="833">
        <v>150</v>
      </c>
      <c r="Q15" s="829">
        <v>150</v>
      </c>
    </row>
    <row r="16" spans="2:17" ht="15.75" x14ac:dyDescent="0.25">
      <c r="B16" s="832"/>
      <c r="C16" s="572" t="s">
        <v>449</v>
      </c>
      <c r="D16" s="573" t="s">
        <v>455</v>
      </c>
      <c r="E16" s="573" t="s">
        <v>199</v>
      </c>
      <c r="F16" s="573" t="s">
        <v>208</v>
      </c>
      <c r="G16" s="834"/>
      <c r="H16" s="834"/>
      <c r="I16" s="834"/>
      <c r="J16" s="836"/>
      <c r="K16" s="838"/>
      <c r="L16" s="834"/>
      <c r="M16" s="834"/>
      <c r="N16" s="834"/>
      <c r="O16" s="834"/>
      <c r="P16" s="834"/>
      <c r="Q16" s="830"/>
    </row>
    <row r="17" spans="2:21" ht="16.5" thickBot="1" x14ac:dyDescent="0.3">
      <c r="B17" s="557"/>
      <c r="C17" s="559" t="s">
        <v>450</v>
      </c>
      <c r="D17" s="67" t="s">
        <v>456</v>
      </c>
      <c r="E17" s="67" t="s">
        <v>460</v>
      </c>
      <c r="F17" s="67" t="s">
        <v>19</v>
      </c>
      <c r="G17" s="67">
        <v>0</v>
      </c>
      <c r="H17" s="67">
        <v>0</v>
      </c>
      <c r="I17" s="67">
        <v>0</v>
      </c>
      <c r="J17" s="595">
        <v>0</v>
      </c>
      <c r="K17" s="602">
        <v>0</v>
      </c>
      <c r="L17" s="67">
        <v>0</v>
      </c>
      <c r="M17" s="67">
        <v>0</v>
      </c>
      <c r="N17" s="67">
        <v>0</v>
      </c>
      <c r="O17" s="67">
        <v>0</v>
      </c>
      <c r="P17" s="67">
        <v>30</v>
      </c>
      <c r="Q17" s="69">
        <v>60</v>
      </c>
    </row>
    <row r="18" spans="2:21" ht="15.75" x14ac:dyDescent="0.25">
      <c r="B18" s="91"/>
      <c r="C18" s="574" t="s">
        <v>15</v>
      </c>
      <c r="D18" s="574"/>
      <c r="E18" s="574"/>
      <c r="F18" s="574"/>
      <c r="G18" s="574">
        <f>SUM(G8:G17)</f>
        <v>478.8</v>
      </c>
      <c r="H18" s="574">
        <f t="shared" ref="H18:Q18" si="0">SUM(H8:H17)</f>
        <v>482.6</v>
      </c>
      <c r="I18" s="574">
        <f t="shared" si="0"/>
        <v>518.70000000000005</v>
      </c>
      <c r="J18" s="597">
        <f t="shared" si="0"/>
        <v>528.5</v>
      </c>
      <c r="K18" s="604">
        <f t="shared" si="0"/>
        <v>535.9</v>
      </c>
      <c r="L18" s="574">
        <f t="shared" si="0"/>
        <v>549.79999999999995</v>
      </c>
      <c r="M18" s="574">
        <f t="shared" si="0"/>
        <v>550.79999999999995</v>
      </c>
      <c r="N18" s="574">
        <f t="shared" si="0"/>
        <v>552.5</v>
      </c>
      <c r="O18" s="574">
        <f t="shared" si="0"/>
        <v>556.20000000000005</v>
      </c>
      <c r="P18" s="574">
        <f t="shared" si="0"/>
        <v>571</v>
      </c>
      <c r="Q18" s="575">
        <f t="shared" si="0"/>
        <v>604</v>
      </c>
    </row>
    <row r="23" spans="2:21" ht="18.75" x14ac:dyDescent="0.3">
      <c r="B23" s="266" t="s">
        <v>210</v>
      </c>
    </row>
    <row r="24" spans="2:21" x14ac:dyDescent="0.25">
      <c r="C24" s="2"/>
      <c r="D24" s="2"/>
      <c r="E24" s="2"/>
      <c r="F24" s="2"/>
      <c r="G24" s="2"/>
      <c r="H24" s="2"/>
      <c r="I24" s="2"/>
      <c r="J24" s="3"/>
      <c r="K24" s="4"/>
      <c r="L24" s="2"/>
      <c r="M24" s="2"/>
      <c r="N24" s="2"/>
      <c r="O24" s="2"/>
      <c r="P24" s="2"/>
    </row>
    <row r="25" spans="2:21" ht="15.75" x14ac:dyDescent="0.25">
      <c r="B25" s="556" t="s">
        <v>437</v>
      </c>
      <c r="C25" s="558" t="s">
        <v>0</v>
      </c>
      <c r="D25" s="558" t="s">
        <v>1</v>
      </c>
      <c r="E25" s="558" t="s">
        <v>2</v>
      </c>
      <c r="F25" s="558" t="s">
        <v>206</v>
      </c>
      <c r="G25" s="558">
        <v>2012</v>
      </c>
      <c r="H25" s="558">
        <v>2013</v>
      </c>
      <c r="I25" s="558">
        <v>2014</v>
      </c>
      <c r="J25" s="591">
        <v>2015</v>
      </c>
      <c r="K25" s="598">
        <v>2016</v>
      </c>
      <c r="L25" s="558">
        <v>2017</v>
      </c>
      <c r="M25" s="558">
        <v>2018</v>
      </c>
      <c r="N25" s="558">
        <v>2019</v>
      </c>
      <c r="O25" s="558">
        <v>2020</v>
      </c>
      <c r="P25" s="558">
        <v>2021</v>
      </c>
      <c r="Q25" s="556">
        <v>2022</v>
      </c>
    </row>
    <row r="26" spans="2:21" ht="16.5" thickBot="1" x14ac:dyDescent="0.3">
      <c r="B26" s="555"/>
      <c r="C26" s="558"/>
      <c r="D26" s="558"/>
      <c r="E26" s="558"/>
      <c r="F26" s="558" t="s">
        <v>207</v>
      </c>
      <c r="G26" s="558"/>
      <c r="H26" s="558"/>
      <c r="I26" s="558"/>
      <c r="J26" s="591"/>
      <c r="K26" s="598"/>
      <c r="L26" s="558"/>
      <c r="M26" s="558"/>
      <c r="N26" s="558"/>
      <c r="O26" s="558"/>
      <c r="P26" s="558"/>
      <c r="Q26" s="556"/>
    </row>
    <row r="27" spans="2:21" ht="15.75" x14ac:dyDescent="0.25">
      <c r="B27" s="576" t="s">
        <v>438</v>
      </c>
      <c r="C27" s="560" t="s">
        <v>439</v>
      </c>
      <c r="D27" s="561" t="s">
        <v>82</v>
      </c>
      <c r="E27" s="561" t="s">
        <v>199</v>
      </c>
      <c r="F27" s="561" t="s">
        <v>350</v>
      </c>
      <c r="G27" s="561">
        <v>33.5</v>
      </c>
      <c r="H27" s="561">
        <v>32</v>
      </c>
      <c r="I27" s="561">
        <v>27.5</v>
      </c>
      <c r="J27" s="592">
        <v>29.5</v>
      </c>
      <c r="K27" s="599">
        <v>24</v>
      </c>
      <c r="L27" s="561">
        <v>30.5</v>
      </c>
      <c r="M27" s="561">
        <v>30.5</v>
      </c>
      <c r="N27" s="561">
        <v>30.5</v>
      </c>
      <c r="O27" s="561">
        <v>30.5</v>
      </c>
      <c r="P27" s="561">
        <v>23.5</v>
      </c>
      <c r="Q27" s="562">
        <v>23.5</v>
      </c>
    </row>
    <row r="28" spans="2:21" ht="15.75" x14ac:dyDescent="0.25">
      <c r="B28" s="555"/>
      <c r="C28" s="563" t="s">
        <v>440</v>
      </c>
      <c r="D28" s="564" t="s">
        <v>452</v>
      </c>
      <c r="E28" s="564" t="s">
        <v>197</v>
      </c>
      <c r="F28" s="564" t="s">
        <v>461</v>
      </c>
      <c r="G28" s="564">
        <v>5</v>
      </c>
      <c r="H28" s="564">
        <v>12.3</v>
      </c>
      <c r="I28" s="564">
        <v>13.6</v>
      </c>
      <c r="J28" s="593">
        <v>4.3</v>
      </c>
      <c r="K28" s="600">
        <v>0</v>
      </c>
      <c r="L28" s="564">
        <v>0</v>
      </c>
      <c r="M28" s="564">
        <v>0</v>
      </c>
      <c r="N28" s="564">
        <v>0</v>
      </c>
      <c r="O28" s="564">
        <v>0</v>
      </c>
      <c r="P28" s="564">
        <v>0</v>
      </c>
      <c r="Q28" s="565">
        <v>0</v>
      </c>
    </row>
    <row r="29" spans="2:21" ht="15.75" x14ac:dyDescent="0.25">
      <c r="B29" s="577" t="s">
        <v>441</v>
      </c>
      <c r="C29" s="569" t="s">
        <v>442</v>
      </c>
      <c r="D29" s="303" t="s">
        <v>457</v>
      </c>
      <c r="E29" s="303" t="s">
        <v>199</v>
      </c>
      <c r="F29" s="303" t="s">
        <v>208</v>
      </c>
      <c r="G29" s="303">
        <v>20</v>
      </c>
      <c r="H29" s="303">
        <v>23</v>
      </c>
      <c r="I29" s="303">
        <v>36.700000000000003</v>
      </c>
      <c r="J29" s="594">
        <v>37.9</v>
      </c>
      <c r="K29" s="601">
        <v>28.4</v>
      </c>
      <c r="L29" s="303">
        <v>32</v>
      </c>
      <c r="M29" s="303">
        <v>32</v>
      </c>
      <c r="N29" s="303">
        <v>32</v>
      </c>
      <c r="O29" s="303">
        <v>32</v>
      </c>
      <c r="P29" s="303">
        <v>32</v>
      </c>
      <c r="Q29" s="305">
        <v>32</v>
      </c>
    </row>
    <row r="30" spans="2:21" ht="15.75" x14ac:dyDescent="0.25">
      <c r="B30" s="605" t="s">
        <v>462</v>
      </c>
      <c r="C30" s="620" t="s">
        <v>463</v>
      </c>
      <c r="D30" s="607" t="s">
        <v>145</v>
      </c>
      <c r="E30" s="606" t="s">
        <v>272</v>
      </c>
      <c r="F30" s="606" t="s">
        <v>19</v>
      </c>
      <c r="G30" s="607">
        <v>0</v>
      </c>
      <c r="H30" s="607">
        <v>0</v>
      </c>
      <c r="I30" s="607">
        <v>0</v>
      </c>
      <c r="J30" s="608">
        <v>0</v>
      </c>
      <c r="K30" s="609">
        <v>0</v>
      </c>
      <c r="L30" s="607">
        <v>10</v>
      </c>
      <c r="M30" s="607">
        <v>30</v>
      </c>
      <c r="N30" s="607">
        <v>50</v>
      </c>
      <c r="O30" s="607">
        <v>50</v>
      </c>
      <c r="P30" s="607">
        <v>50</v>
      </c>
      <c r="Q30" s="610">
        <v>50</v>
      </c>
      <c r="T30" t="s">
        <v>467</v>
      </c>
      <c r="U30" t="s">
        <v>466</v>
      </c>
    </row>
    <row r="31" spans="2:21" ht="15.75" x14ac:dyDescent="0.25">
      <c r="B31" s="578" t="s">
        <v>443</v>
      </c>
      <c r="C31" s="569" t="s">
        <v>444</v>
      </c>
      <c r="D31" s="303" t="s">
        <v>458</v>
      </c>
      <c r="E31" s="303" t="s">
        <v>199</v>
      </c>
      <c r="F31" s="303" t="s">
        <v>208</v>
      </c>
      <c r="G31" s="303">
        <v>26</v>
      </c>
      <c r="H31" s="303">
        <v>25</v>
      </c>
      <c r="I31" s="303">
        <v>29.5</v>
      </c>
      <c r="J31" s="594">
        <v>23</v>
      </c>
      <c r="K31" s="601">
        <v>23</v>
      </c>
      <c r="L31" s="303">
        <v>17</v>
      </c>
      <c r="M31" s="303">
        <v>23</v>
      </c>
      <c r="N31" s="303">
        <v>30</v>
      </c>
      <c r="O31" s="303">
        <v>30</v>
      </c>
      <c r="P31" s="303">
        <v>30</v>
      </c>
      <c r="Q31" s="305">
        <v>30</v>
      </c>
    </row>
    <row r="32" spans="2:21" ht="15.75" x14ac:dyDescent="0.25">
      <c r="B32" s="578" t="s">
        <v>445</v>
      </c>
      <c r="C32" s="569" t="s">
        <v>446</v>
      </c>
      <c r="D32" s="303" t="s">
        <v>453</v>
      </c>
      <c r="E32" s="303" t="s">
        <v>199</v>
      </c>
      <c r="F32" s="303" t="s">
        <v>208</v>
      </c>
      <c r="G32" s="303">
        <v>0</v>
      </c>
      <c r="H32" s="303">
        <v>1.2</v>
      </c>
      <c r="I32" s="303">
        <v>13.4</v>
      </c>
      <c r="J32" s="594">
        <v>14.8</v>
      </c>
      <c r="K32" s="601">
        <v>10.5</v>
      </c>
      <c r="L32" s="303">
        <v>15.3</v>
      </c>
      <c r="M32" s="303">
        <v>15.3</v>
      </c>
      <c r="N32" s="303">
        <v>15</v>
      </c>
      <c r="O32" s="303">
        <v>18.7</v>
      </c>
      <c r="P32" s="303">
        <v>10.5</v>
      </c>
      <c r="Q32" s="305">
        <v>13.5</v>
      </c>
    </row>
    <row r="33" spans="2:17" ht="15.75" x14ac:dyDescent="0.25">
      <c r="B33" s="555" t="s">
        <v>464</v>
      </c>
      <c r="C33" s="566" t="s">
        <v>459</v>
      </c>
      <c r="D33" s="567" t="s">
        <v>82</v>
      </c>
      <c r="E33" s="567" t="s">
        <v>199</v>
      </c>
      <c r="F33" s="567" t="s">
        <v>208</v>
      </c>
      <c r="G33" s="567">
        <v>65</v>
      </c>
      <c r="H33" s="567">
        <v>67</v>
      </c>
      <c r="I33" s="567">
        <v>65</v>
      </c>
      <c r="J33" s="596">
        <v>65</v>
      </c>
      <c r="K33" s="603">
        <v>65</v>
      </c>
      <c r="L33" s="567">
        <v>65</v>
      </c>
      <c r="M33" s="567">
        <v>65</v>
      </c>
      <c r="N33" s="567">
        <v>65</v>
      </c>
      <c r="O33" s="567">
        <v>65</v>
      </c>
      <c r="P33" s="567">
        <v>65</v>
      </c>
      <c r="Q33" s="568">
        <v>65</v>
      </c>
    </row>
    <row r="34" spans="2:17" ht="15.75" x14ac:dyDescent="0.25">
      <c r="B34" s="555"/>
      <c r="C34" s="563" t="s">
        <v>71</v>
      </c>
      <c r="D34" s="564" t="s">
        <v>454</v>
      </c>
      <c r="E34" s="564" t="s">
        <v>199</v>
      </c>
      <c r="F34" s="564" t="s">
        <v>19</v>
      </c>
      <c r="G34" s="564">
        <f>+G14</f>
        <v>165</v>
      </c>
      <c r="H34" s="564">
        <f t="shared" ref="H34:Q34" si="1">+H14</f>
        <v>170</v>
      </c>
      <c r="I34" s="564">
        <f t="shared" si="1"/>
        <v>174</v>
      </c>
      <c r="J34" s="593">
        <f t="shared" si="1"/>
        <v>194</v>
      </c>
      <c r="K34" s="600">
        <f t="shared" si="1"/>
        <v>220</v>
      </c>
      <c r="L34" s="564">
        <f t="shared" si="1"/>
        <v>230</v>
      </c>
      <c r="M34" s="564">
        <f t="shared" si="1"/>
        <v>230</v>
      </c>
      <c r="N34" s="564">
        <f t="shared" si="1"/>
        <v>230</v>
      </c>
      <c r="O34" s="564">
        <f t="shared" si="1"/>
        <v>230</v>
      </c>
      <c r="P34" s="564">
        <f t="shared" si="1"/>
        <v>230</v>
      </c>
      <c r="Q34" s="565">
        <f t="shared" si="1"/>
        <v>230</v>
      </c>
    </row>
    <row r="35" spans="2:17" ht="15.75" x14ac:dyDescent="0.25">
      <c r="B35" s="831" t="s">
        <v>447</v>
      </c>
      <c r="C35" s="570" t="s">
        <v>448</v>
      </c>
      <c r="D35" s="571" t="s">
        <v>455</v>
      </c>
      <c r="E35" s="571" t="s">
        <v>199</v>
      </c>
      <c r="F35" s="571" t="s">
        <v>208</v>
      </c>
      <c r="G35" s="833">
        <v>164.3</v>
      </c>
      <c r="H35" s="833">
        <v>152.1</v>
      </c>
      <c r="I35" s="833">
        <v>159</v>
      </c>
      <c r="J35" s="835">
        <v>160</v>
      </c>
      <c r="K35" s="837">
        <v>165</v>
      </c>
      <c r="L35" s="833">
        <v>160</v>
      </c>
      <c r="M35" s="833">
        <v>155</v>
      </c>
      <c r="N35" s="833">
        <v>150</v>
      </c>
      <c r="O35" s="833">
        <v>150</v>
      </c>
      <c r="P35" s="833">
        <v>150</v>
      </c>
      <c r="Q35" s="829">
        <v>150</v>
      </c>
    </row>
    <row r="36" spans="2:17" ht="15.75" x14ac:dyDescent="0.25">
      <c r="B36" s="832"/>
      <c r="C36" s="572" t="s">
        <v>449</v>
      </c>
      <c r="D36" s="573" t="s">
        <v>455</v>
      </c>
      <c r="E36" s="573" t="s">
        <v>199</v>
      </c>
      <c r="F36" s="573" t="s">
        <v>208</v>
      </c>
      <c r="G36" s="834"/>
      <c r="H36" s="834"/>
      <c r="I36" s="834"/>
      <c r="J36" s="836"/>
      <c r="K36" s="838"/>
      <c r="L36" s="834"/>
      <c r="M36" s="834"/>
      <c r="N36" s="834"/>
      <c r="O36" s="834"/>
      <c r="P36" s="834"/>
      <c r="Q36" s="830"/>
    </row>
    <row r="37" spans="2:17" ht="16.5" thickBot="1" x14ac:dyDescent="0.3">
      <c r="B37" s="557"/>
      <c r="C37" s="559" t="s">
        <v>450</v>
      </c>
      <c r="D37" s="67" t="s">
        <v>456</v>
      </c>
      <c r="E37" s="67" t="s">
        <v>460</v>
      </c>
      <c r="F37" s="67" t="s">
        <v>19</v>
      </c>
      <c r="G37" s="67">
        <v>0</v>
      </c>
      <c r="H37" s="67">
        <v>0</v>
      </c>
      <c r="I37" s="67">
        <v>0</v>
      </c>
      <c r="J37" s="595">
        <v>0</v>
      </c>
      <c r="K37" s="602">
        <v>0</v>
      </c>
      <c r="L37" s="67">
        <v>0</v>
      </c>
      <c r="M37" s="67">
        <v>0</v>
      </c>
      <c r="N37" s="67">
        <v>0</v>
      </c>
      <c r="O37" s="67">
        <v>0</v>
      </c>
      <c r="P37" s="67">
        <v>30</v>
      </c>
      <c r="Q37" s="69">
        <v>60</v>
      </c>
    </row>
    <row r="38" spans="2:17" ht="15.75" x14ac:dyDescent="0.25">
      <c r="B38" s="91"/>
      <c r="C38" s="574" t="s">
        <v>15</v>
      </c>
      <c r="D38" s="574"/>
      <c r="E38" s="574"/>
      <c r="F38" s="574"/>
      <c r="G38" s="574">
        <f>SUM(G27:G37)</f>
        <v>478.8</v>
      </c>
      <c r="H38" s="574">
        <f t="shared" ref="H38" si="2">SUM(H27:H37)</f>
        <v>482.6</v>
      </c>
      <c r="I38" s="574">
        <f t="shared" ref="I38" si="3">SUM(I27:I37)</f>
        <v>518.70000000000005</v>
      </c>
      <c r="J38" s="597">
        <f t="shared" ref="J38" si="4">SUM(J27:J37)</f>
        <v>528.5</v>
      </c>
      <c r="K38" s="604">
        <f t="shared" ref="K38" si="5">SUM(K27:K37)</f>
        <v>535.9</v>
      </c>
      <c r="L38" s="574">
        <f t="shared" ref="L38" si="6">SUM(L27:L37)</f>
        <v>559.79999999999995</v>
      </c>
      <c r="M38" s="574">
        <f t="shared" ref="M38" si="7">SUM(M27:M37)</f>
        <v>580.79999999999995</v>
      </c>
      <c r="N38" s="574">
        <f t="shared" ref="N38" si="8">SUM(N27:N37)</f>
        <v>602.5</v>
      </c>
      <c r="O38" s="574">
        <f t="shared" ref="O38" si="9">SUM(O27:O37)</f>
        <v>606.20000000000005</v>
      </c>
      <c r="P38" s="574">
        <f t="shared" ref="P38" si="10">SUM(P27:P37)</f>
        <v>621</v>
      </c>
      <c r="Q38" s="575">
        <f t="shared" ref="Q38" si="11">SUM(Q27:Q37)</f>
        <v>654</v>
      </c>
    </row>
    <row r="41" spans="2:17" ht="18.75" x14ac:dyDescent="0.3">
      <c r="C41" s="280" t="s">
        <v>211</v>
      </c>
      <c r="E41" s="166"/>
      <c r="F41" s="166"/>
    </row>
    <row r="42" spans="2:17" x14ac:dyDescent="0.25">
      <c r="E42" s="166"/>
      <c r="F42" s="166"/>
    </row>
    <row r="43" spans="2:17" ht="15.75" x14ac:dyDescent="0.25">
      <c r="C43" t="s">
        <v>212</v>
      </c>
      <c r="D43" s="296">
        <v>51.6</v>
      </c>
      <c r="E43" s="166"/>
      <c r="F43" s="11" t="s">
        <v>209</v>
      </c>
      <c r="G43" t="s">
        <v>249</v>
      </c>
    </row>
    <row r="44" spans="2:17" ht="15.75" x14ac:dyDescent="0.25">
      <c r="C44" t="s">
        <v>213</v>
      </c>
      <c r="D44" s="297">
        <v>49</v>
      </c>
      <c r="E44" s="166"/>
      <c r="F44" s="11" t="s">
        <v>201</v>
      </c>
      <c r="G44" t="s">
        <v>292</v>
      </c>
    </row>
    <row r="45" spans="2:17" ht="15.75" x14ac:dyDescent="0.25">
      <c r="C45" t="s">
        <v>302</v>
      </c>
      <c r="D45" s="298">
        <v>36</v>
      </c>
      <c r="E45" s="166"/>
      <c r="F45" s="166"/>
    </row>
    <row r="46" spans="2:17" x14ac:dyDescent="0.25">
      <c r="E46" s="166"/>
      <c r="F46" s="166"/>
    </row>
    <row r="47" spans="2:17" ht="15.75" x14ac:dyDescent="0.25">
      <c r="E47" s="166"/>
      <c r="F47" s="6" t="s">
        <v>206</v>
      </c>
      <c r="G47" s="6">
        <v>2012</v>
      </c>
      <c r="H47" s="6">
        <f>+G47+1</f>
        <v>2013</v>
      </c>
      <c r="I47" s="6">
        <f t="shared" ref="I47:Q47" si="12">+H47+1</f>
        <v>2014</v>
      </c>
      <c r="J47" s="7">
        <f t="shared" si="12"/>
        <v>2015</v>
      </c>
      <c r="K47" s="8">
        <f t="shared" si="12"/>
        <v>2016</v>
      </c>
      <c r="L47" s="6">
        <f t="shared" si="12"/>
        <v>2017</v>
      </c>
      <c r="M47" s="6">
        <f t="shared" si="12"/>
        <v>2018</v>
      </c>
      <c r="N47" s="6">
        <f t="shared" si="12"/>
        <v>2019</v>
      </c>
      <c r="O47" s="6">
        <f t="shared" si="12"/>
        <v>2020</v>
      </c>
      <c r="P47" s="6">
        <f t="shared" si="12"/>
        <v>2021</v>
      </c>
      <c r="Q47" s="6">
        <f t="shared" si="12"/>
        <v>2022</v>
      </c>
    </row>
    <row r="48" spans="2:17" x14ac:dyDescent="0.25">
      <c r="E48" s="166"/>
      <c r="F48" s="276" t="s">
        <v>207</v>
      </c>
      <c r="G48" s="2"/>
      <c r="H48" s="2"/>
      <c r="I48" s="2"/>
      <c r="J48" s="3"/>
      <c r="K48" s="4"/>
      <c r="L48" s="2"/>
      <c r="M48" s="2"/>
      <c r="N48" s="2"/>
      <c r="O48" s="2"/>
      <c r="P48" s="2"/>
      <c r="Q48" s="2"/>
    </row>
    <row r="49" spans="5:17" ht="15.75" x14ac:dyDescent="0.25">
      <c r="E49" s="166"/>
      <c r="F49" s="11" t="s">
        <v>208</v>
      </c>
      <c r="G49" s="398">
        <f>+G38-G50</f>
        <v>297.05</v>
      </c>
      <c r="H49" s="463">
        <f t="shared" ref="H49:Q49" si="13">+H38-H50</f>
        <v>296.60000000000002</v>
      </c>
      <c r="I49" s="463">
        <f t="shared" si="13"/>
        <v>330.95000000000005</v>
      </c>
      <c r="J49" s="464">
        <f t="shared" si="13"/>
        <v>319.75</v>
      </c>
      <c r="K49" s="465">
        <f t="shared" si="13"/>
        <v>303.89999999999998</v>
      </c>
      <c r="L49" s="463">
        <f t="shared" si="13"/>
        <v>304.54999999999995</v>
      </c>
      <c r="M49" s="463">
        <f t="shared" si="13"/>
        <v>305.54999999999995</v>
      </c>
      <c r="N49" s="463">
        <f t="shared" si="13"/>
        <v>307.25</v>
      </c>
      <c r="O49" s="463">
        <f t="shared" si="13"/>
        <v>310.95000000000005</v>
      </c>
      <c r="P49" s="463">
        <f t="shared" si="13"/>
        <v>299.25</v>
      </c>
      <c r="Q49" s="463">
        <f t="shared" si="13"/>
        <v>302.25</v>
      </c>
    </row>
    <row r="50" spans="5:17" ht="15.75" x14ac:dyDescent="0.25">
      <c r="E50" s="166"/>
      <c r="F50" s="11" t="s">
        <v>19</v>
      </c>
      <c r="G50" s="463">
        <f>+G37+G34+G27/2+G30</f>
        <v>181.75</v>
      </c>
      <c r="H50" s="463">
        <f t="shared" ref="H50:Q50" si="14">+H37+H34+H27/2+H30</f>
        <v>186</v>
      </c>
      <c r="I50" s="463">
        <f t="shared" si="14"/>
        <v>187.75</v>
      </c>
      <c r="J50" s="464">
        <f t="shared" si="14"/>
        <v>208.75</v>
      </c>
      <c r="K50" s="465">
        <f t="shared" si="14"/>
        <v>232</v>
      </c>
      <c r="L50" s="463">
        <f t="shared" si="14"/>
        <v>255.25</v>
      </c>
      <c r="M50" s="463">
        <f t="shared" si="14"/>
        <v>275.25</v>
      </c>
      <c r="N50" s="463">
        <f t="shared" si="14"/>
        <v>295.25</v>
      </c>
      <c r="O50" s="463">
        <f t="shared" si="14"/>
        <v>295.25</v>
      </c>
      <c r="P50" s="463">
        <f t="shared" si="14"/>
        <v>321.75</v>
      </c>
      <c r="Q50" s="463">
        <f t="shared" si="14"/>
        <v>351.75</v>
      </c>
    </row>
    <row r="51" spans="5:17" x14ac:dyDescent="0.25">
      <c r="F51" t="s">
        <v>465</v>
      </c>
    </row>
  </sheetData>
  <mergeCells count="24">
    <mergeCell ref="Q35:Q36"/>
    <mergeCell ref="B35:B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15:Q16"/>
    <mergeCell ref="B15:B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9"/>
  <sheetViews>
    <sheetView workbookViewId="0"/>
  </sheetViews>
  <sheetFormatPr defaultRowHeight="15" x14ac:dyDescent="0.25"/>
  <cols>
    <col min="2" max="2" width="24.5703125" customWidth="1"/>
    <col min="3" max="13" width="9.5703125" bestFit="1" customWidth="1"/>
    <col min="15" max="15" width="81.28515625" customWidth="1"/>
  </cols>
  <sheetData>
    <row r="1" spans="2:13" ht="18.75" x14ac:dyDescent="0.3">
      <c r="G1" s="266" t="s">
        <v>562</v>
      </c>
    </row>
    <row r="4" spans="2:13" ht="18.75" x14ac:dyDescent="0.3">
      <c r="B4" s="266" t="s">
        <v>521</v>
      </c>
    </row>
    <row r="6" spans="2:13" ht="15.75" x14ac:dyDescent="0.25">
      <c r="B6" s="5" t="s">
        <v>186</v>
      </c>
      <c r="C6" s="6">
        <v>2012</v>
      </c>
      <c r="D6" s="6">
        <f>+C6+1</f>
        <v>2013</v>
      </c>
      <c r="E6" s="6">
        <f t="shared" ref="E6:M6" si="0">+D6+1</f>
        <v>2014</v>
      </c>
      <c r="F6" s="7">
        <f t="shared" si="0"/>
        <v>2015</v>
      </c>
      <c r="G6" s="8">
        <f t="shared" si="0"/>
        <v>2016</v>
      </c>
      <c r="H6" s="6">
        <f t="shared" si="0"/>
        <v>2017</v>
      </c>
      <c r="I6" s="6">
        <f t="shared" si="0"/>
        <v>2018</v>
      </c>
      <c r="J6" s="6">
        <f t="shared" si="0"/>
        <v>2019</v>
      </c>
      <c r="K6" s="6">
        <f t="shared" si="0"/>
        <v>2020</v>
      </c>
      <c r="L6" s="6">
        <f t="shared" si="0"/>
        <v>2021</v>
      </c>
      <c r="M6" s="5">
        <f t="shared" si="0"/>
        <v>2022</v>
      </c>
    </row>
    <row r="7" spans="2:13" ht="15.75" thickBot="1" x14ac:dyDescent="0.3">
      <c r="C7" s="2"/>
      <c r="D7" s="2"/>
      <c r="E7" s="2"/>
      <c r="F7" s="3"/>
      <c r="G7" s="4"/>
      <c r="H7" s="2"/>
      <c r="I7" s="2"/>
      <c r="J7" s="2"/>
      <c r="K7" s="2"/>
      <c r="L7" s="2"/>
    </row>
    <row r="8" spans="2:13" ht="15.75" x14ac:dyDescent="0.25">
      <c r="B8" s="839" t="s">
        <v>178</v>
      </c>
      <c r="C8" s="840">
        <f>+Canada!F21</f>
        <v>622.6</v>
      </c>
      <c r="D8" s="840">
        <f>+Canada!G21</f>
        <v>412.8</v>
      </c>
      <c r="E8" s="840">
        <f>+Canada!H21</f>
        <v>332.5</v>
      </c>
      <c r="F8" s="841">
        <f>+Canada!I21</f>
        <v>295.59999999999997</v>
      </c>
      <c r="G8" s="842">
        <f>+Canada!J21</f>
        <v>316.10000000000002</v>
      </c>
      <c r="H8" s="840">
        <f>+Canada!K21</f>
        <v>332</v>
      </c>
      <c r="I8" s="840">
        <f>+Canada!L21</f>
        <v>320</v>
      </c>
      <c r="J8" s="840">
        <f>+Canada!M21</f>
        <v>319</v>
      </c>
      <c r="K8" s="840">
        <f>+Canada!N21</f>
        <v>264</v>
      </c>
      <c r="L8" s="840">
        <f>+Canada!O21</f>
        <v>160</v>
      </c>
      <c r="M8" s="843">
        <f>+Canada!P21</f>
        <v>105</v>
      </c>
    </row>
    <row r="9" spans="2:13" ht="15.75" x14ac:dyDescent="0.25">
      <c r="B9" s="33" t="s">
        <v>179</v>
      </c>
      <c r="C9" s="248">
        <f>+USA!F16</f>
        <v>738</v>
      </c>
      <c r="D9" s="248">
        <f>+USA!G16</f>
        <v>774</v>
      </c>
      <c r="E9" s="248">
        <f>+USA!H16</f>
        <v>812</v>
      </c>
      <c r="F9" s="251">
        <f>+USA!I16</f>
        <v>817</v>
      </c>
      <c r="G9" s="252">
        <f>+USA!J16</f>
        <v>769</v>
      </c>
      <c r="H9" s="248">
        <f>+USA!K16</f>
        <v>751</v>
      </c>
      <c r="I9" s="248">
        <f>+USA!L16</f>
        <v>736</v>
      </c>
      <c r="J9" s="248">
        <f>+USA!M16</f>
        <v>721</v>
      </c>
      <c r="K9" s="248">
        <f>+USA!N16</f>
        <v>712</v>
      </c>
      <c r="L9" s="248">
        <f>+USA!O16</f>
        <v>672</v>
      </c>
      <c r="M9" s="253">
        <f>+USA!P16</f>
        <v>659</v>
      </c>
    </row>
    <row r="10" spans="2:13" ht="15.75" x14ac:dyDescent="0.25">
      <c r="B10" s="33" t="s">
        <v>180</v>
      </c>
      <c r="C10" s="248">
        <f>+India!F14</f>
        <v>764.7</v>
      </c>
      <c r="D10" s="248">
        <f>+India!G14</f>
        <v>758.50000000000011</v>
      </c>
      <c r="E10" s="248">
        <f>+India!H14</f>
        <v>758.69999999999993</v>
      </c>
      <c r="F10" s="251">
        <f>+India!I14</f>
        <v>744.19999999999993</v>
      </c>
      <c r="G10" s="252">
        <f>+India!J14</f>
        <v>556</v>
      </c>
      <c r="H10" s="248">
        <f>+India!K14</f>
        <v>854</v>
      </c>
      <c r="I10" s="248">
        <f>+India!L14</f>
        <v>683</v>
      </c>
      <c r="J10" s="248">
        <f>+India!M14</f>
        <v>652</v>
      </c>
      <c r="K10" s="248">
        <f>+India!N14</f>
        <v>760</v>
      </c>
      <c r="L10" s="248">
        <f>+India!O14</f>
        <v>733</v>
      </c>
      <c r="M10" s="253">
        <f>+India!P14</f>
        <v>688</v>
      </c>
    </row>
    <row r="11" spans="2:13" ht="15.75" x14ac:dyDescent="0.25">
      <c r="B11" s="27" t="s">
        <v>181</v>
      </c>
      <c r="C11" s="244">
        <f>+Australia!F24</f>
        <v>1541</v>
      </c>
      <c r="D11" s="244">
        <f>+Australia!G24</f>
        <v>1523.828</v>
      </c>
      <c r="E11" s="244">
        <f>+Australia!H24</f>
        <v>1561.0451</v>
      </c>
      <c r="F11" s="254">
        <f>+Australia!I24</f>
        <v>1547.931</v>
      </c>
      <c r="G11" s="255">
        <f>+Australia!J24</f>
        <v>840.43500000000006</v>
      </c>
      <c r="H11" s="244">
        <f>+Australia!K24</f>
        <v>841.88000000000011</v>
      </c>
      <c r="I11" s="244">
        <f>+Australia!L24</f>
        <v>1016.6100000000001</v>
      </c>
      <c r="J11" s="244">
        <f>+Australia!M24</f>
        <v>1078.0700000000002</v>
      </c>
      <c r="K11" s="244">
        <f>+Australia!N24</f>
        <v>1051.77</v>
      </c>
      <c r="L11" s="244">
        <f>+Australia!O24</f>
        <v>1011.0700000000002</v>
      </c>
      <c r="M11" s="256">
        <f>+Australia!P24</f>
        <v>957.55000000000007</v>
      </c>
    </row>
    <row r="12" spans="2:13" ht="15.75" x14ac:dyDescent="0.25">
      <c r="B12" s="33" t="s">
        <v>182</v>
      </c>
      <c r="C12" s="248">
        <f>+Peru!F36</f>
        <v>1204.2560000000001</v>
      </c>
      <c r="D12" s="248">
        <f>+Peru!G36</f>
        <v>1262.548</v>
      </c>
      <c r="E12" s="248">
        <f>+Peru!H36</f>
        <v>1250.067</v>
      </c>
      <c r="F12" s="257">
        <f>+Peru!I36</f>
        <v>1342.049</v>
      </c>
      <c r="G12" s="258">
        <f>+Peru!J36</f>
        <v>1273.202</v>
      </c>
      <c r="H12" s="248">
        <f>+Peru!K36</f>
        <v>1408.6030000000001</v>
      </c>
      <c r="I12" s="248">
        <f>+Peru!L36</f>
        <v>1415.45</v>
      </c>
      <c r="J12" s="248">
        <f>+Peru!M36</f>
        <v>1425.0350000000001</v>
      </c>
      <c r="K12" s="248">
        <f>+Peru!N36</f>
        <v>1447.6569999999999</v>
      </c>
      <c r="L12" s="248">
        <f>+Peru!O36</f>
        <v>1416.076</v>
      </c>
      <c r="M12" s="253">
        <f>+Peru!P36</f>
        <v>1422</v>
      </c>
    </row>
    <row r="13" spans="2:13" ht="15.75" x14ac:dyDescent="0.25">
      <c r="B13" s="33" t="s">
        <v>183</v>
      </c>
      <c r="C13" s="248">
        <f>+Europe!G33</f>
        <v>1000.7</v>
      </c>
      <c r="D13" s="248">
        <f>+Europe!H33</f>
        <v>988.89999999999986</v>
      </c>
      <c r="E13" s="248">
        <f>+Europe!I33</f>
        <v>999.50000000000011</v>
      </c>
      <c r="F13" s="251">
        <f>+Europe!J33</f>
        <v>907.09999999999991</v>
      </c>
      <c r="G13" s="252">
        <f>+Europe!K33</f>
        <v>911.7</v>
      </c>
      <c r="H13" s="248">
        <f>+Europe!L33</f>
        <v>902</v>
      </c>
      <c r="I13" s="248">
        <f>+Europe!M33</f>
        <v>906.3</v>
      </c>
      <c r="J13" s="248">
        <f>+Europe!N33</f>
        <v>931.5</v>
      </c>
      <c r="K13" s="248">
        <f>+Europe!O33</f>
        <v>958.5</v>
      </c>
      <c r="L13" s="248">
        <f>+Europe!P33</f>
        <v>990.5</v>
      </c>
      <c r="M13" s="253">
        <f>+Europe!Q33</f>
        <v>986.5</v>
      </c>
    </row>
    <row r="14" spans="2:13" ht="15.75" x14ac:dyDescent="0.25">
      <c r="B14" s="33" t="s">
        <v>184</v>
      </c>
      <c r="C14" s="248">
        <f>+Mexico!F43</f>
        <v>660.20900000000006</v>
      </c>
      <c r="D14" s="248">
        <f>+Mexico!G43</f>
        <v>642.41600000000005</v>
      </c>
      <c r="E14" s="248">
        <f>+Mexico!H43</f>
        <v>659.87799999999993</v>
      </c>
      <c r="F14" s="251">
        <f>+Mexico!I43</f>
        <v>689.34699999999998</v>
      </c>
      <c r="G14" s="252">
        <f>+Mexico!J43</f>
        <v>651.1389999999999</v>
      </c>
      <c r="H14" s="248">
        <f>+Mexico!K43</f>
        <v>744.31000000000006</v>
      </c>
      <c r="I14" s="248">
        <f>+Mexico!L43</f>
        <v>784.31000000000006</v>
      </c>
      <c r="J14" s="248">
        <f>+Mexico!M43</f>
        <v>812.31000000000006</v>
      </c>
      <c r="K14" s="248">
        <f>+Mexico!N43</f>
        <v>817.31000000000006</v>
      </c>
      <c r="L14" s="248">
        <f>+Mexico!O43</f>
        <v>820.31000000000006</v>
      </c>
      <c r="M14" s="253">
        <f>+Mexico!P43</f>
        <v>824.31000000000006</v>
      </c>
    </row>
    <row r="15" spans="2:13" ht="15.75" x14ac:dyDescent="0.25">
      <c r="B15" s="41" t="s">
        <v>185</v>
      </c>
      <c r="C15" s="244">
        <f>+Africa!F17</f>
        <v>310.01900000000001</v>
      </c>
      <c r="D15" s="244">
        <f>+Africa!G17</f>
        <v>304.18</v>
      </c>
      <c r="E15" s="244">
        <f>+Africa!H17</f>
        <v>312.791</v>
      </c>
      <c r="F15" s="254">
        <f>+Africa!I17</f>
        <v>322.80099999999999</v>
      </c>
      <c r="G15" s="255">
        <f>+Africa!J17</f>
        <v>368.2</v>
      </c>
      <c r="H15" s="244">
        <f>+Africa!K17</f>
        <v>441.5</v>
      </c>
      <c r="I15" s="244">
        <f>+Africa!L17</f>
        <v>455.8</v>
      </c>
      <c r="J15" s="244">
        <f>+Africa!M17</f>
        <v>620.5</v>
      </c>
      <c r="K15" s="244">
        <f>+Africa!N17</f>
        <v>789.35</v>
      </c>
      <c r="L15" s="244">
        <f>+Africa!O17</f>
        <v>766</v>
      </c>
      <c r="M15" s="256">
        <f>+Africa!P17</f>
        <v>761</v>
      </c>
    </row>
    <row r="16" spans="2:13" ht="15.75" x14ac:dyDescent="0.25">
      <c r="B16" s="33" t="s">
        <v>387</v>
      </c>
      <c r="C16" s="248">
        <f>+Kazahkstan!F26</f>
        <v>429</v>
      </c>
      <c r="D16" s="248">
        <f>+Kazahkstan!G26</f>
        <v>412</v>
      </c>
      <c r="E16" s="248">
        <f>+Kazahkstan!H26</f>
        <v>377</v>
      </c>
      <c r="F16" s="251">
        <f>+Kazahkstan!I26</f>
        <v>372</v>
      </c>
      <c r="G16" s="252">
        <f>+Kazahkstan!J26</f>
        <v>317</v>
      </c>
      <c r="H16" s="248">
        <f>+Kazahkstan!K26</f>
        <v>323.7</v>
      </c>
      <c r="I16" s="248">
        <f>+Kazahkstan!L26</f>
        <v>338.7</v>
      </c>
      <c r="J16" s="248">
        <f>+Kazahkstan!M26</f>
        <v>367.70000000000005</v>
      </c>
      <c r="K16" s="248">
        <f>+Kazahkstan!N26</f>
        <v>368.8</v>
      </c>
      <c r="L16" s="248">
        <f>+Kazahkstan!O26</f>
        <v>341.1</v>
      </c>
      <c r="M16" s="253">
        <f>+Kazahkstan!P26</f>
        <v>307.8</v>
      </c>
    </row>
    <row r="17" spans="2:13" ht="16.5" thickBot="1" x14ac:dyDescent="0.3">
      <c r="B17" s="41" t="s">
        <v>388</v>
      </c>
      <c r="C17" s="244">
        <f>+'S and C America'!G18</f>
        <v>478.8</v>
      </c>
      <c r="D17" s="244">
        <f>+'S and C America'!H18</f>
        <v>482.6</v>
      </c>
      <c r="E17" s="244">
        <f>+'S and C America'!I18</f>
        <v>518.70000000000005</v>
      </c>
      <c r="F17" s="254">
        <f>+'S and C America'!J18</f>
        <v>528.5</v>
      </c>
      <c r="G17" s="255">
        <f>+'S and C America'!K18</f>
        <v>535.9</v>
      </c>
      <c r="H17" s="244">
        <f>+'S and C America'!L18</f>
        <v>549.79999999999995</v>
      </c>
      <c r="I17" s="244">
        <f>+'S and C America'!M18</f>
        <v>550.79999999999995</v>
      </c>
      <c r="J17" s="244">
        <f>+'S and C America'!N18</f>
        <v>552.5</v>
      </c>
      <c r="K17" s="244">
        <f>+'S and C America'!O18</f>
        <v>556.20000000000005</v>
      </c>
      <c r="L17" s="244">
        <f>+'S and C America'!P18</f>
        <v>571</v>
      </c>
      <c r="M17" s="256">
        <f>+'S and C America'!Q18</f>
        <v>604</v>
      </c>
    </row>
    <row r="18" spans="2:13" ht="15.75" x14ac:dyDescent="0.25">
      <c r="B18" s="50" t="s">
        <v>15</v>
      </c>
      <c r="C18" s="473">
        <f>SUM(C8:C17)</f>
        <v>7749.2840000000006</v>
      </c>
      <c r="D18" s="473">
        <f t="shared" ref="D18:M18" si="1">SUM(D8:D17)</f>
        <v>7561.7720000000008</v>
      </c>
      <c r="E18" s="473">
        <f t="shared" si="1"/>
        <v>7582.1810999999998</v>
      </c>
      <c r="F18" s="779">
        <f t="shared" si="1"/>
        <v>7566.5279999999993</v>
      </c>
      <c r="G18" s="780">
        <f t="shared" si="1"/>
        <v>6538.6759999999995</v>
      </c>
      <c r="H18" s="473">
        <f t="shared" si="1"/>
        <v>7148.7930000000006</v>
      </c>
      <c r="I18" s="473">
        <f t="shared" si="1"/>
        <v>7206.9700000000012</v>
      </c>
      <c r="J18" s="473">
        <f t="shared" si="1"/>
        <v>7479.6150000000007</v>
      </c>
      <c r="K18" s="473">
        <f t="shared" si="1"/>
        <v>7725.5870000000004</v>
      </c>
      <c r="L18" s="473">
        <f t="shared" si="1"/>
        <v>7481.0560000000014</v>
      </c>
      <c r="M18" s="779">
        <f t="shared" si="1"/>
        <v>7315.1600000000008</v>
      </c>
    </row>
    <row r="19" spans="2:13" ht="15.75" x14ac:dyDescent="0.25">
      <c r="B19" s="27"/>
      <c r="C19" s="28"/>
      <c r="D19" s="611">
        <f>+(D18-C18)/C18</f>
        <v>-2.419733229547397E-2</v>
      </c>
      <c r="E19" s="611">
        <f t="shared" ref="E19:M19" si="2">+(E18-D18)/D18</f>
        <v>2.698983783166028E-3</v>
      </c>
      <c r="F19" s="612">
        <f t="shared" si="2"/>
        <v>-2.0644587347037188E-3</v>
      </c>
      <c r="G19" s="613">
        <f t="shared" si="2"/>
        <v>-0.13584196080421562</v>
      </c>
      <c r="H19" s="611">
        <f t="shared" si="2"/>
        <v>9.3308951231105677E-2</v>
      </c>
      <c r="I19" s="611">
        <f t="shared" si="2"/>
        <v>8.13801714499225E-3</v>
      </c>
      <c r="J19" s="611">
        <f t="shared" si="2"/>
        <v>3.7830738854192469E-2</v>
      </c>
      <c r="K19" s="611">
        <f t="shared" si="2"/>
        <v>3.2885649862994248E-2</v>
      </c>
      <c r="L19" s="611">
        <f t="shared" si="2"/>
        <v>-3.1652093232527059E-2</v>
      </c>
      <c r="M19" s="612">
        <f t="shared" si="2"/>
        <v>-2.2175478969813967E-2</v>
      </c>
    </row>
    <row r="20" spans="2:13" x14ac:dyDescent="0.25">
      <c r="B20" t="s">
        <v>549</v>
      </c>
    </row>
    <row r="22" spans="2:13" ht="18.75" x14ac:dyDescent="0.3">
      <c r="B22" s="266" t="s">
        <v>210</v>
      </c>
    </row>
    <row r="24" spans="2:13" ht="15.75" x14ac:dyDescent="0.25">
      <c r="B24" s="5" t="s">
        <v>186</v>
      </c>
      <c r="C24" s="6">
        <v>2012</v>
      </c>
      <c r="D24" s="6">
        <f>+C24+1</f>
        <v>2013</v>
      </c>
      <c r="E24" s="6">
        <f t="shared" ref="E24" si="3">+D24+1</f>
        <v>2014</v>
      </c>
      <c r="F24" s="7">
        <f t="shared" ref="F24" si="4">+E24+1</f>
        <v>2015</v>
      </c>
      <c r="G24" s="8">
        <f t="shared" ref="G24" si="5">+F24+1</f>
        <v>2016</v>
      </c>
      <c r="H24" s="6">
        <f t="shared" ref="H24" si="6">+G24+1</f>
        <v>2017</v>
      </c>
      <c r="I24" s="6">
        <f t="shared" ref="I24" si="7">+H24+1</f>
        <v>2018</v>
      </c>
      <c r="J24" s="6">
        <f t="shared" ref="J24" si="8">+I24+1</f>
        <v>2019</v>
      </c>
      <c r="K24" s="6">
        <f t="shared" ref="K24" si="9">+J24+1</f>
        <v>2020</v>
      </c>
      <c r="L24" s="6">
        <f t="shared" ref="L24" si="10">+K24+1</f>
        <v>2021</v>
      </c>
      <c r="M24" s="5">
        <f t="shared" ref="M24" si="11">+L24+1</f>
        <v>2022</v>
      </c>
    </row>
    <row r="25" spans="2:13" ht="15.75" thickBot="1" x14ac:dyDescent="0.3">
      <c r="C25" s="2"/>
      <c r="D25" s="2"/>
      <c r="E25" s="2"/>
      <c r="F25" s="3"/>
      <c r="G25" s="4"/>
      <c r="H25" s="2"/>
      <c r="I25" s="2"/>
      <c r="J25" s="2"/>
      <c r="K25" s="2"/>
      <c r="L25" s="2"/>
    </row>
    <row r="26" spans="2:13" ht="15.75" x14ac:dyDescent="0.25">
      <c r="B26" s="839" t="s">
        <v>178</v>
      </c>
      <c r="C26" s="840">
        <f>+Canada!F43</f>
        <v>622.6</v>
      </c>
      <c r="D26" s="840">
        <f>+Canada!G43</f>
        <v>412.8</v>
      </c>
      <c r="E26" s="840">
        <f>+Canada!H43</f>
        <v>332.5</v>
      </c>
      <c r="F26" s="841">
        <f>+Canada!I43</f>
        <v>295.59999999999997</v>
      </c>
      <c r="G26" s="842">
        <f>+Canada!J43</f>
        <v>316.60000000000002</v>
      </c>
      <c r="H26" s="840">
        <f>+Canada!K43</f>
        <v>366.3</v>
      </c>
      <c r="I26" s="840">
        <f>+Canada!L43</f>
        <v>338</v>
      </c>
      <c r="J26" s="840">
        <f>+Canada!M43</f>
        <v>337</v>
      </c>
      <c r="K26" s="840">
        <f>+Canada!N43</f>
        <v>288</v>
      </c>
      <c r="L26" s="840">
        <f>+Canada!O43</f>
        <v>178</v>
      </c>
      <c r="M26" s="843">
        <f>+Canada!P43</f>
        <v>143</v>
      </c>
    </row>
    <row r="27" spans="2:13" ht="15.75" x14ac:dyDescent="0.25">
      <c r="B27" s="33" t="s">
        <v>179</v>
      </c>
      <c r="C27" s="248">
        <f>+USA!F33</f>
        <v>738</v>
      </c>
      <c r="D27" s="248">
        <f>+USA!G33</f>
        <v>774</v>
      </c>
      <c r="E27" s="248">
        <f>+USA!H33</f>
        <v>812</v>
      </c>
      <c r="F27" s="251">
        <f>+USA!I33</f>
        <v>817</v>
      </c>
      <c r="G27" s="252">
        <f>+USA!J33</f>
        <v>786.3</v>
      </c>
      <c r="H27" s="248">
        <f>+USA!K33</f>
        <v>783.5</v>
      </c>
      <c r="I27" s="248">
        <f>+USA!L33</f>
        <v>786</v>
      </c>
      <c r="J27" s="248">
        <f>+USA!M33</f>
        <v>773</v>
      </c>
      <c r="K27" s="248">
        <f>+USA!N33</f>
        <v>761</v>
      </c>
      <c r="L27" s="248">
        <f>+USA!O33</f>
        <v>722</v>
      </c>
      <c r="M27" s="253">
        <f>+USA!P33</f>
        <v>709</v>
      </c>
    </row>
    <row r="28" spans="2:13" ht="15.75" x14ac:dyDescent="0.25">
      <c r="B28" s="33" t="s">
        <v>180</v>
      </c>
      <c r="C28" s="248">
        <f>+India!F31</f>
        <v>764.7</v>
      </c>
      <c r="D28" s="248">
        <f>+India!G31</f>
        <v>758.50000000000011</v>
      </c>
      <c r="E28" s="248">
        <f>+India!H31</f>
        <v>758.69999999999993</v>
      </c>
      <c r="F28" s="251">
        <f>+India!I31</f>
        <v>744.19999999999993</v>
      </c>
      <c r="G28" s="252">
        <f>+India!J31</f>
        <v>556</v>
      </c>
      <c r="H28" s="248">
        <f>+India!K31</f>
        <v>854</v>
      </c>
      <c r="I28" s="248">
        <f>+India!L31</f>
        <v>683</v>
      </c>
      <c r="J28" s="248">
        <f>+India!M31</f>
        <v>652</v>
      </c>
      <c r="K28" s="248">
        <f>+India!N31</f>
        <v>760</v>
      </c>
      <c r="L28" s="248">
        <f>+India!O31</f>
        <v>733</v>
      </c>
      <c r="M28" s="253">
        <f>+India!P31</f>
        <v>688</v>
      </c>
    </row>
    <row r="29" spans="2:13" ht="15.75" x14ac:dyDescent="0.25">
      <c r="B29" s="27" t="s">
        <v>181</v>
      </c>
      <c r="C29" s="244">
        <f>+Australia!F54</f>
        <v>1541</v>
      </c>
      <c r="D29" s="244">
        <f>+Australia!G54</f>
        <v>1523.828</v>
      </c>
      <c r="E29" s="244">
        <f>+Australia!H54</f>
        <v>1561.0451</v>
      </c>
      <c r="F29" s="254">
        <f>+Australia!I54</f>
        <v>1547.931</v>
      </c>
      <c r="G29" s="255">
        <f>+Australia!J54</f>
        <v>846.59999999999991</v>
      </c>
      <c r="H29" s="244">
        <f>+Australia!K54</f>
        <v>895.2800000000002</v>
      </c>
      <c r="I29" s="244">
        <f>+Australia!L54</f>
        <v>1075.5100000000002</v>
      </c>
      <c r="J29" s="244">
        <f>+Australia!M54</f>
        <v>1144.7700000000002</v>
      </c>
      <c r="K29" s="244">
        <f>+Australia!N54</f>
        <v>1124.77</v>
      </c>
      <c r="L29" s="244">
        <f>+Australia!O54</f>
        <v>1123.2700000000002</v>
      </c>
      <c r="M29" s="256">
        <f>+Australia!P54</f>
        <v>1021.5500000000001</v>
      </c>
    </row>
    <row r="30" spans="2:13" ht="15.75" x14ac:dyDescent="0.25">
      <c r="B30" s="33" t="s">
        <v>182</v>
      </c>
      <c r="C30" s="248">
        <f>+Peru!F105</f>
        <v>1204.2559999999999</v>
      </c>
      <c r="D30" s="248">
        <f>+Peru!G105</f>
        <v>1262.5480000000005</v>
      </c>
      <c r="E30" s="248">
        <f>+Peru!H105</f>
        <v>1250.0670000000002</v>
      </c>
      <c r="F30" s="257">
        <f>+Peru!I105</f>
        <v>1342.0490000000002</v>
      </c>
      <c r="G30" s="258">
        <f>+Peru!J105</f>
        <v>1240.3980948060782</v>
      </c>
      <c r="H30" s="248">
        <f>+Peru!K105</f>
        <v>1420.203</v>
      </c>
      <c r="I30" s="248">
        <f>+Peru!L105</f>
        <v>1417.45</v>
      </c>
      <c r="J30" s="248">
        <f>+Peru!M105</f>
        <v>1426.0349999999999</v>
      </c>
      <c r="K30" s="248">
        <f>+Peru!N105</f>
        <v>1411.6569999999999</v>
      </c>
      <c r="L30" s="248">
        <f>+Peru!O105</f>
        <v>1401.076</v>
      </c>
      <c r="M30" s="253">
        <f>+Peru!P105</f>
        <v>1407</v>
      </c>
    </row>
    <row r="31" spans="2:13" ht="15.75" x14ac:dyDescent="0.25">
      <c r="B31" s="33" t="s">
        <v>183</v>
      </c>
      <c r="C31" s="248">
        <f>+Europe!G70</f>
        <v>945.90000000000009</v>
      </c>
      <c r="D31" s="248">
        <f>+Europe!H70</f>
        <v>931.99999999999989</v>
      </c>
      <c r="E31" s="248">
        <f>+Europe!I70</f>
        <v>920.60000000000014</v>
      </c>
      <c r="F31" s="251">
        <f>+Europe!J70</f>
        <v>852.09999999999991</v>
      </c>
      <c r="G31" s="252">
        <f>+Europe!K70</f>
        <v>883</v>
      </c>
      <c r="H31" s="248">
        <f>+Europe!L70</f>
        <v>893.80648999999994</v>
      </c>
      <c r="I31" s="248">
        <f>+Europe!M70</f>
        <v>878.5</v>
      </c>
      <c r="J31" s="248">
        <f>+Europe!N70</f>
        <v>894.5</v>
      </c>
      <c r="K31" s="248">
        <f>+Europe!O70</f>
        <v>896.5</v>
      </c>
      <c r="L31" s="248">
        <f>+Europe!P70</f>
        <v>926.5</v>
      </c>
      <c r="M31" s="253">
        <f>+Europe!Q70</f>
        <v>927.5</v>
      </c>
    </row>
    <row r="32" spans="2:13" ht="15.75" x14ac:dyDescent="0.25">
      <c r="B32" s="33" t="s">
        <v>184</v>
      </c>
      <c r="C32" s="248">
        <f>+Mexico!F149</f>
        <v>660.20900000000006</v>
      </c>
      <c r="D32" s="248">
        <f>+Mexico!G149</f>
        <v>642.41600000000005</v>
      </c>
      <c r="E32" s="248">
        <f>+Mexico!H149</f>
        <v>659.87799999999993</v>
      </c>
      <c r="F32" s="251">
        <f>+Mexico!I149</f>
        <v>689.34699999999998</v>
      </c>
      <c r="G32" s="252">
        <f>+Mexico!J149</f>
        <v>645.12669599999992</v>
      </c>
      <c r="H32" s="248">
        <f>+Mexico!K149</f>
        <v>694.66916515426499</v>
      </c>
      <c r="I32" s="248">
        <f>+Mexico!L149</f>
        <v>757.71</v>
      </c>
      <c r="J32" s="248">
        <f>+Mexico!M149</f>
        <v>816.31000000000006</v>
      </c>
      <c r="K32" s="248">
        <f>+Mexico!N149</f>
        <v>819.31000000000006</v>
      </c>
      <c r="L32" s="248">
        <f>+Mexico!O149</f>
        <v>822.31000000000006</v>
      </c>
      <c r="M32" s="253">
        <f>+Mexico!P149</f>
        <v>826.31000000000006</v>
      </c>
    </row>
    <row r="33" spans="2:15" ht="15.75" x14ac:dyDescent="0.25">
      <c r="B33" s="62" t="s">
        <v>185</v>
      </c>
      <c r="C33" s="244">
        <f>+Africa!F35</f>
        <v>310.01900000000001</v>
      </c>
      <c r="D33" s="244">
        <f>+Africa!G35</f>
        <v>304.18</v>
      </c>
      <c r="E33" s="244">
        <f>+Africa!H35</f>
        <v>312.791</v>
      </c>
      <c r="F33" s="254">
        <f>+Africa!I35</f>
        <v>322.80099999999999</v>
      </c>
      <c r="G33" s="255">
        <f>+Africa!J35</f>
        <v>346.6</v>
      </c>
      <c r="H33" s="244">
        <f>+Africa!K35</f>
        <v>441.72727272727275</v>
      </c>
      <c r="I33" s="244">
        <f>+Africa!L35</f>
        <v>455.8</v>
      </c>
      <c r="J33" s="244">
        <f>+Africa!M35</f>
        <v>620.5</v>
      </c>
      <c r="K33" s="244">
        <f>+Africa!N35</f>
        <v>789.35</v>
      </c>
      <c r="L33" s="244">
        <f>+Africa!O35</f>
        <v>766</v>
      </c>
      <c r="M33" s="472">
        <f>+Africa!P35</f>
        <v>761</v>
      </c>
    </row>
    <row r="34" spans="2:15" ht="15.75" x14ac:dyDescent="0.25">
      <c r="B34" s="33" t="s">
        <v>387</v>
      </c>
      <c r="C34" s="248">
        <f>+Kazahkstan!F60</f>
        <v>429</v>
      </c>
      <c r="D34" s="248">
        <f>+Kazahkstan!G60</f>
        <v>412</v>
      </c>
      <c r="E34" s="248">
        <f>+Kazahkstan!H60</f>
        <v>377</v>
      </c>
      <c r="F34" s="251">
        <f>+Kazahkstan!I60</f>
        <v>372</v>
      </c>
      <c r="G34" s="252">
        <f>+Kazahkstan!J60</f>
        <v>317</v>
      </c>
      <c r="H34" s="248">
        <f>+Kazahkstan!K60</f>
        <v>323.7</v>
      </c>
      <c r="I34" s="248">
        <f>+Kazahkstan!L60</f>
        <v>338.7</v>
      </c>
      <c r="J34" s="248">
        <f>+Kazahkstan!M60</f>
        <v>367.70000000000005</v>
      </c>
      <c r="K34" s="248">
        <f>+Kazahkstan!N60</f>
        <v>368.8</v>
      </c>
      <c r="L34" s="248">
        <f>+Kazahkstan!O60</f>
        <v>341.1</v>
      </c>
      <c r="M34" s="253">
        <f>+Kazahkstan!P60</f>
        <v>307.8</v>
      </c>
    </row>
    <row r="35" spans="2:15" ht="16.5" thickBot="1" x14ac:dyDescent="0.3">
      <c r="B35" s="41" t="s">
        <v>388</v>
      </c>
      <c r="C35" s="244">
        <f>+'S and C America'!G38</f>
        <v>478.8</v>
      </c>
      <c r="D35" s="244">
        <f>+'S and C America'!H38</f>
        <v>482.6</v>
      </c>
      <c r="E35" s="244">
        <f>+'S and C America'!I38</f>
        <v>518.70000000000005</v>
      </c>
      <c r="F35" s="254">
        <f>+'S and C America'!J38</f>
        <v>528.5</v>
      </c>
      <c r="G35" s="255">
        <f>+'S and C America'!K38</f>
        <v>535.9</v>
      </c>
      <c r="H35" s="244">
        <f>+'S and C America'!L38</f>
        <v>559.79999999999995</v>
      </c>
      <c r="I35" s="244">
        <f>+'S and C America'!M38</f>
        <v>580.79999999999995</v>
      </c>
      <c r="J35" s="244">
        <f>+'S and C America'!N38</f>
        <v>602.5</v>
      </c>
      <c r="K35" s="244">
        <f>+'S and C America'!O38</f>
        <v>606.20000000000005</v>
      </c>
      <c r="L35" s="244">
        <f>+'S and C America'!P38</f>
        <v>621</v>
      </c>
      <c r="M35" s="256">
        <f>+'S and C America'!Q38</f>
        <v>654</v>
      </c>
    </row>
    <row r="36" spans="2:15" ht="15.75" x14ac:dyDescent="0.25">
      <c r="B36" s="50" t="s">
        <v>15</v>
      </c>
      <c r="C36" s="473">
        <f t="shared" ref="C36:M36" si="12">SUM(C26:C35)</f>
        <v>7694.4840000000004</v>
      </c>
      <c r="D36" s="473">
        <f t="shared" si="12"/>
        <v>7504.8720000000012</v>
      </c>
      <c r="E36" s="473">
        <f t="shared" si="12"/>
        <v>7503.2811000000002</v>
      </c>
      <c r="F36" s="779">
        <f t="shared" si="12"/>
        <v>7511.5279999999993</v>
      </c>
      <c r="G36" s="780">
        <f t="shared" si="12"/>
        <v>6473.5247908060783</v>
      </c>
      <c r="H36" s="473">
        <f t="shared" si="12"/>
        <v>7232.9859278815375</v>
      </c>
      <c r="I36" s="473">
        <f t="shared" si="12"/>
        <v>7311.47</v>
      </c>
      <c r="J36" s="473">
        <f t="shared" si="12"/>
        <v>7634.3150000000005</v>
      </c>
      <c r="K36" s="473">
        <f t="shared" si="12"/>
        <v>7825.5870000000004</v>
      </c>
      <c r="L36" s="473">
        <f t="shared" si="12"/>
        <v>7634.2560000000012</v>
      </c>
      <c r="M36" s="779">
        <f t="shared" si="12"/>
        <v>7445.1600000000008</v>
      </c>
      <c r="O36" t="s">
        <v>579</v>
      </c>
    </row>
    <row r="37" spans="2:15" ht="15.75" x14ac:dyDescent="0.25">
      <c r="B37" s="27"/>
      <c r="C37" s="28"/>
      <c r="D37" s="611">
        <f t="shared" ref="D37:M37" si="13">+(D36-C36)/C36</f>
        <v>-2.4642588118969272E-2</v>
      </c>
      <c r="E37" s="611">
        <f t="shared" si="13"/>
        <v>-2.1198229630046405E-4</v>
      </c>
      <c r="F37" s="612">
        <f t="shared" si="13"/>
        <v>1.0991058298481162E-3</v>
      </c>
      <c r="G37" s="613">
        <f t="shared" si="13"/>
        <v>-0.1381880236875801</v>
      </c>
      <c r="H37" s="611">
        <f t="shared" si="13"/>
        <v>0.11731802404681788</v>
      </c>
      <c r="I37" s="611">
        <f t="shared" si="13"/>
        <v>1.0850853700119104E-2</v>
      </c>
      <c r="J37" s="611">
        <f t="shared" si="13"/>
        <v>4.4155963164726142E-2</v>
      </c>
      <c r="K37" s="611">
        <f t="shared" si="13"/>
        <v>2.5054245207330312E-2</v>
      </c>
      <c r="L37" s="611">
        <f t="shared" si="13"/>
        <v>-2.4449411909930746E-2</v>
      </c>
      <c r="M37" s="612">
        <f t="shared" si="13"/>
        <v>-2.4769407785120177E-2</v>
      </c>
    </row>
    <row r="39" spans="2:15" ht="15.75" x14ac:dyDescent="0.25">
      <c r="B39" s="290" t="s">
        <v>389</v>
      </c>
      <c r="C39" s="474">
        <f>+C36-C18</f>
        <v>-54.800000000000182</v>
      </c>
      <c r="D39" s="474">
        <f>+D36-D18</f>
        <v>-56.899999999999636</v>
      </c>
      <c r="E39" s="474">
        <f>+E36-E18</f>
        <v>-78.899999999999636</v>
      </c>
      <c r="F39" s="474">
        <f>+F36-F18</f>
        <v>-55</v>
      </c>
      <c r="G39" s="474">
        <f>+G36-G18</f>
        <v>-65.151209193921204</v>
      </c>
      <c r="H39" s="474">
        <f>+H36-H18</f>
        <v>84.192927881536889</v>
      </c>
      <c r="I39" s="474">
        <f>+I36-I18</f>
        <v>104.49999999999909</v>
      </c>
      <c r="J39" s="474">
        <f>+J36-J18</f>
        <v>154.69999999999982</v>
      </c>
      <c r="K39" s="474">
        <f>+K36-K18</f>
        <v>100</v>
      </c>
      <c r="L39" s="474">
        <f>+L36-L18</f>
        <v>153.19999999999982</v>
      </c>
      <c r="M39" s="474">
        <f>+M36-M18</f>
        <v>130</v>
      </c>
      <c r="O39" t="s">
        <v>569</v>
      </c>
    </row>
    <row r="40" spans="2:15" x14ac:dyDescent="0.25">
      <c r="O40" t="s">
        <v>570</v>
      </c>
    </row>
    <row r="41" spans="2:15" x14ac:dyDescent="0.25">
      <c r="O41" t="s">
        <v>574</v>
      </c>
    </row>
    <row r="42" spans="2:15" ht="15.75" x14ac:dyDescent="0.25">
      <c r="B42" s="6" t="s">
        <v>206</v>
      </c>
      <c r="C42" s="6">
        <v>2012</v>
      </c>
      <c r="D42" s="6">
        <f>+C42+1</f>
        <v>2013</v>
      </c>
      <c r="E42" s="6">
        <f t="shared" ref="E42:M42" si="14">+D42+1</f>
        <v>2014</v>
      </c>
      <c r="F42" s="7">
        <f t="shared" si="14"/>
        <v>2015</v>
      </c>
      <c r="G42" s="8">
        <f t="shared" si="14"/>
        <v>2016</v>
      </c>
      <c r="H42" s="6">
        <f t="shared" si="14"/>
        <v>2017</v>
      </c>
      <c r="I42" s="6">
        <f t="shared" si="14"/>
        <v>2018</v>
      </c>
      <c r="J42" s="6">
        <f t="shared" si="14"/>
        <v>2019</v>
      </c>
      <c r="K42" s="6">
        <f t="shared" si="14"/>
        <v>2020</v>
      </c>
      <c r="L42" s="6">
        <f t="shared" si="14"/>
        <v>2021</v>
      </c>
      <c r="M42" s="6">
        <f t="shared" si="14"/>
        <v>2022</v>
      </c>
      <c r="O42" t="s">
        <v>571</v>
      </c>
    </row>
    <row r="43" spans="2:15" x14ac:dyDescent="0.25">
      <c r="B43" s="276" t="s">
        <v>207</v>
      </c>
      <c r="C43" s="2"/>
      <c r="D43" s="2"/>
      <c r="E43" s="2"/>
      <c r="F43" s="3"/>
      <c r="G43" s="4"/>
      <c r="H43" s="2"/>
      <c r="I43" s="2"/>
      <c r="J43" s="2"/>
      <c r="K43" s="2"/>
      <c r="L43" s="2"/>
      <c r="M43" s="338"/>
      <c r="O43" t="s">
        <v>572</v>
      </c>
    </row>
    <row r="44" spans="2:15" ht="15.75" x14ac:dyDescent="0.25">
      <c r="B44" s="11" t="s">
        <v>208</v>
      </c>
      <c r="C44" s="614">
        <f>+Canada!F54+USA!F44+India!F42+Australia!F70+Peru!F117+Europe!G84+Mexico!F161+Africa!F46+Kazahkstan!F72+'S and C America'!G49</f>
        <v>4641.5676000000003</v>
      </c>
      <c r="D44" s="614">
        <f>+Canada!G54+USA!G44+India!G42+Australia!G70+Peru!G117+Europe!H84+Mexico!G161+Africa!G46+Kazahkstan!G72+'S and C America'!H49</f>
        <v>4554.8644000000004</v>
      </c>
      <c r="E44" s="614">
        <f>+Canada!H54+USA!H44+India!H42+Australia!H70+Peru!H117+Europe!I84+Mexico!H161+Africa!H46+Kazahkstan!H72+'S and C America'!I49</f>
        <v>4622.9101799999999</v>
      </c>
      <c r="F44" s="615">
        <f>+Canada!I54+USA!I44+India!I42+Australia!I70+Peru!I117+Europe!J84+Mexico!I161+Africa!I46+Kazahkstan!I72+'S and C America'!J49</f>
        <v>4681.6369999999997</v>
      </c>
      <c r="G44" s="616">
        <f>+Canada!J54+USA!J44+India!J42+Australia!J70+Peru!J117+Europe!K84+Mexico!J161+Africa!J46+Kazahkstan!J72+'S and C America'!K49</f>
        <v>4567.4390948060773</v>
      </c>
      <c r="H44" s="614">
        <f>+Canada!K54+USA!K44+India!K42+Australia!K70+Peru!K117+Europe!L84+Mexico!K161+Africa!K46+Kazahkstan!K72+'S and C America'!L49</f>
        <v>4893.2494900000002</v>
      </c>
      <c r="I44" s="614">
        <f>+Canada!L54+USA!L44+India!L42+Australia!L70+Peru!L117+Europe!M84+Mexico!L161+Africa!L46+Kazahkstan!L72+'S and C America'!M49</f>
        <v>5224.62</v>
      </c>
      <c r="J44" s="614">
        <f>+Canada!M54+USA!M44+India!M42+Australia!M70+Peru!M117+Europe!N84+Mexico!M161+Africa!M46+Kazahkstan!M72+'S and C America'!N49</f>
        <v>5502.9650000000001</v>
      </c>
      <c r="K44" s="614">
        <f>+Canada!N54+USA!N44+India!N42+Australia!N70+Peru!N117+Europe!O84+Mexico!N161+Africa!N46+Kazahkstan!N72+'S and C America'!O49</f>
        <v>5654.3869999999997</v>
      </c>
      <c r="L44" s="614">
        <f>+Canada!O54+USA!O44+India!O42+Australia!O70+Peru!O117+Europe!P84+Mexico!O161+Africa!O46+Kazahkstan!O72+'S and C America'!P49</f>
        <v>5488.9060000000009</v>
      </c>
      <c r="M44" s="614">
        <f>+Canada!P54+USA!P44+India!P42+Australia!P70+Peru!P117+Europe!Q84+Mexico!P161+Africa!P46+Kazahkstan!P72+'S and C America'!Q49</f>
        <v>5272.81</v>
      </c>
      <c r="O44" t="s">
        <v>573</v>
      </c>
    </row>
    <row r="45" spans="2:15" ht="15.75" x14ac:dyDescent="0.25">
      <c r="B45" s="11" t="s">
        <v>19</v>
      </c>
      <c r="C45" s="614">
        <f>+Canada!F55+USA!F45+India!F43+Australia!F71+Peru!F118+Europe!G85+Mexico!F162+Africa!F47+Kazahkstan!F73+'S and C America'!G50</f>
        <v>3052.9164000000001</v>
      </c>
      <c r="D45" s="614">
        <f>+Canada!G55+USA!G45+India!G43+Australia!G71+Peru!G118+Europe!H85+Mexico!G162+Africa!G47+Kazahkstan!G73+'S and C America'!H50</f>
        <v>2950.0075999999999</v>
      </c>
      <c r="E45" s="614">
        <f>+Canada!H55+USA!H45+India!H43+Australia!H71+Peru!H118+Europe!I85+Mexico!H162+Africa!H47+Kazahkstan!H73+'S and C America'!I50</f>
        <v>2880.3709199999998</v>
      </c>
      <c r="F45" s="615">
        <f>+Canada!I55+USA!I45+India!I43+Australia!I71+Peru!I118+Europe!J85+Mexico!I162+Africa!I47+Kazahkstan!I73+'S and C America'!J50</f>
        <v>2829.8910000000001</v>
      </c>
      <c r="G45" s="616">
        <f>+Canada!J55+USA!J45+India!J43+Australia!J71+Peru!J118+Europe!K85+Mexico!J162+Africa!J47+Kazahkstan!J73+'S and C America'!K50</f>
        <v>1906.0856960000001</v>
      </c>
      <c r="H45" s="614">
        <f>+Canada!K55+USA!K45+India!K43+Australia!K71+Peru!K118+Europe!L85+Mexico!K162+Africa!K47+Kazahkstan!K73+'S and C America'!L50</f>
        <v>2339.7364378815373</v>
      </c>
      <c r="I45" s="614">
        <f>+Canada!L55+USA!L45+India!L43+Australia!L71+Peru!L118+Europe!M85+Mexico!L162+Africa!L47+Kazahkstan!L73+'S and C America'!M50</f>
        <v>2086.85</v>
      </c>
      <c r="J45" s="614">
        <f>+Canada!M55+USA!M45+India!M43+Australia!M71+Peru!M118+Europe!N85+Mexico!M162+Africa!M47+Kazahkstan!M73+'S and C America'!N50</f>
        <v>2131.35</v>
      </c>
      <c r="K45" s="614">
        <f>+Canada!N55+USA!N45+India!N43+Australia!N71+Peru!N118+Europe!O85+Mexico!N162+Africa!N47+Kazahkstan!N73+'S and C America'!O50</f>
        <v>2171.1999999999998</v>
      </c>
      <c r="L45" s="614">
        <f>+Canada!O55+USA!O45+India!O43+Australia!O71+Peru!O118+Europe!P85+Mexico!O162+Africa!O47+Kazahkstan!O73+'S and C America'!P50</f>
        <v>2145.35</v>
      </c>
      <c r="M45" s="614">
        <f>+Canada!P55+USA!P45+India!P43+Australia!P71+Peru!P118+Europe!Q85+Mexico!P162+Africa!P47+Kazahkstan!P73+'S and C America'!Q50</f>
        <v>2172.35</v>
      </c>
      <c r="O45" t="s">
        <v>575</v>
      </c>
    </row>
    <row r="46" spans="2:15" x14ac:dyDescent="0.25">
      <c r="C46" s="617">
        <f>SUM(C44:C45)</f>
        <v>7694.4840000000004</v>
      </c>
      <c r="D46" s="617">
        <f t="shared" ref="D46:M46" si="15">SUM(D44:D45)</f>
        <v>7504.8720000000003</v>
      </c>
      <c r="E46" s="617">
        <f t="shared" si="15"/>
        <v>7503.2811000000002</v>
      </c>
      <c r="F46" s="618">
        <f t="shared" si="15"/>
        <v>7511.5280000000002</v>
      </c>
      <c r="G46" s="619">
        <f t="shared" si="15"/>
        <v>6473.5247908060774</v>
      </c>
      <c r="H46" s="617">
        <f t="shared" si="15"/>
        <v>7232.9859278815375</v>
      </c>
      <c r="I46" s="617">
        <f t="shared" si="15"/>
        <v>7311.4699999999993</v>
      </c>
      <c r="J46" s="617">
        <f t="shared" si="15"/>
        <v>7634.3150000000005</v>
      </c>
      <c r="K46" s="617">
        <f t="shared" si="15"/>
        <v>7825.5869999999995</v>
      </c>
      <c r="L46" s="617">
        <f t="shared" si="15"/>
        <v>7634.2560000000012</v>
      </c>
      <c r="M46" s="617">
        <f t="shared" si="15"/>
        <v>7445.16</v>
      </c>
      <c r="O46" t="s">
        <v>576</v>
      </c>
    </row>
    <row r="47" spans="2:15" x14ac:dyDescent="0.25">
      <c r="C47" s="551"/>
      <c r="D47" s="551"/>
      <c r="E47" s="551"/>
      <c r="F47" s="551"/>
      <c r="G47" s="551"/>
      <c r="H47" s="551"/>
      <c r="I47" s="551"/>
      <c r="J47" s="551"/>
      <c r="K47" s="551"/>
      <c r="L47" s="551"/>
      <c r="M47" s="551"/>
      <c r="O47" t="s">
        <v>577</v>
      </c>
    </row>
    <row r="48" spans="2:15" x14ac:dyDescent="0.25">
      <c r="C48" s="551"/>
      <c r="D48" s="551"/>
      <c r="E48" s="551"/>
      <c r="F48" s="551"/>
      <c r="G48" s="551"/>
      <c r="H48" s="551"/>
      <c r="I48" s="551"/>
      <c r="J48" s="551"/>
      <c r="K48" s="551"/>
      <c r="L48" s="551"/>
      <c r="M48" s="551"/>
    </row>
    <row r="50" spans="2:13" ht="15.75" x14ac:dyDescent="0.25">
      <c r="B50" s="6" t="s">
        <v>206</v>
      </c>
      <c r="C50" s="6">
        <v>2012</v>
      </c>
      <c r="D50" s="6">
        <f>+C50+1</f>
        <v>2013</v>
      </c>
      <c r="E50" s="6">
        <f t="shared" ref="E50" si="16">+D50+1</f>
        <v>2014</v>
      </c>
      <c r="F50" s="7">
        <f t="shared" ref="F50" si="17">+E50+1</f>
        <v>2015</v>
      </c>
      <c r="G50" s="8">
        <f t="shared" ref="G50" si="18">+F50+1</f>
        <v>2016</v>
      </c>
      <c r="H50" s="6">
        <f t="shared" ref="H50" si="19">+G50+1</f>
        <v>2017</v>
      </c>
      <c r="I50" s="6">
        <f t="shared" ref="I50" si="20">+H50+1</f>
        <v>2018</v>
      </c>
      <c r="J50" s="6">
        <f t="shared" ref="J50" si="21">+I50+1</f>
        <v>2019</v>
      </c>
      <c r="K50" s="6">
        <f t="shared" ref="K50" si="22">+J50+1</f>
        <v>2020</v>
      </c>
      <c r="L50" s="6">
        <f t="shared" ref="L50" si="23">+K50+1</f>
        <v>2021</v>
      </c>
      <c r="M50" s="6">
        <f t="shared" ref="M50" si="24">+L50+1</f>
        <v>2022</v>
      </c>
    </row>
    <row r="51" spans="2:13" x14ac:dyDescent="0.25">
      <c r="B51" s="276" t="s">
        <v>207</v>
      </c>
      <c r="C51" s="2"/>
      <c r="D51" s="2"/>
      <c r="E51" s="2"/>
      <c r="F51" s="3"/>
      <c r="G51" s="4"/>
      <c r="H51" s="2"/>
      <c r="I51" s="2"/>
      <c r="J51" s="2"/>
      <c r="K51" s="2"/>
      <c r="L51" s="2"/>
      <c r="M51" s="338"/>
    </row>
    <row r="52" spans="2:13" ht="15.75" x14ac:dyDescent="0.25">
      <c r="B52" s="11" t="s">
        <v>208</v>
      </c>
      <c r="C52" s="552">
        <f>+C44/C46</f>
        <v>0.60323312128532591</v>
      </c>
      <c r="D52" s="552">
        <f t="shared" ref="D52:M52" si="25">+D44/D46</f>
        <v>0.60692099745338768</v>
      </c>
      <c r="E52" s="552">
        <f t="shared" si="25"/>
        <v>0.61611848448540729</v>
      </c>
      <c r="F52" s="553">
        <f t="shared" si="25"/>
        <v>0.62326027407472884</v>
      </c>
      <c r="G52" s="554">
        <f t="shared" si="25"/>
        <v>0.70555674727513384</v>
      </c>
      <c r="H52" s="552">
        <f t="shared" si="25"/>
        <v>0.67651859671641579</v>
      </c>
      <c r="I52" s="552">
        <f t="shared" si="25"/>
        <v>0.71457860047295552</v>
      </c>
      <c r="J52" s="552">
        <f t="shared" si="25"/>
        <v>0.72081974610688715</v>
      </c>
      <c r="K52" s="552">
        <f t="shared" si="25"/>
        <v>0.72255116453244983</v>
      </c>
      <c r="L52" s="552">
        <f t="shared" si="25"/>
        <v>0.71898374903854412</v>
      </c>
      <c r="M52" s="552">
        <f t="shared" si="25"/>
        <v>0.70821983677986777</v>
      </c>
    </row>
    <row r="53" spans="2:13" ht="15.75" x14ac:dyDescent="0.25">
      <c r="B53" s="11" t="s">
        <v>19</v>
      </c>
      <c r="C53" s="552">
        <f>+C45/C46</f>
        <v>0.39676687871467403</v>
      </c>
      <c r="D53" s="552">
        <f t="shared" ref="D53:M53" si="26">+D45/D46</f>
        <v>0.39307900254661238</v>
      </c>
      <c r="E53" s="552">
        <f t="shared" si="26"/>
        <v>0.38388151551459265</v>
      </c>
      <c r="F53" s="553">
        <f t="shared" si="26"/>
        <v>0.37673972592527111</v>
      </c>
      <c r="G53" s="554">
        <f t="shared" si="26"/>
        <v>0.29444325272486616</v>
      </c>
      <c r="H53" s="552">
        <f t="shared" si="26"/>
        <v>0.32348140328358421</v>
      </c>
      <c r="I53" s="552">
        <f t="shared" si="26"/>
        <v>0.28542139952704448</v>
      </c>
      <c r="J53" s="552">
        <f t="shared" si="26"/>
        <v>0.27918025389311285</v>
      </c>
      <c r="K53" s="552">
        <f t="shared" si="26"/>
        <v>0.27744883546755023</v>
      </c>
      <c r="L53" s="552">
        <f t="shared" si="26"/>
        <v>0.28101625096145577</v>
      </c>
      <c r="M53" s="552">
        <f t="shared" si="26"/>
        <v>0.29178016322013228</v>
      </c>
    </row>
    <row r="55" spans="2:13" x14ac:dyDescent="0.25">
      <c r="B55" t="s">
        <v>564</v>
      </c>
    </row>
    <row r="56" spans="2:13" x14ac:dyDescent="0.25">
      <c r="B56" t="s">
        <v>565</v>
      </c>
    </row>
    <row r="57" spans="2:13" x14ac:dyDescent="0.25">
      <c r="B57" t="s">
        <v>566</v>
      </c>
    </row>
    <row r="58" spans="2:13" x14ac:dyDescent="0.25">
      <c r="B58" t="s">
        <v>568</v>
      </c>
    </row>
    <row r="59" spans="2:13" x14ac:dyDescent="0.25">
      <c r="B59" t="s">
        <v>567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3"/>
  <sheetViews>
    <sheetView workbookViewId="0"/>
  </sheetViews>
  <sheetFormatPr defaultRowHeight="15" x14ac:dyDescent="0.25"/>
  <cols>
    <col min="1" max="1" width="14.140625" customWidth="1"/>
    <col min="2" max="2" width="30.7109375" customWidth="1"/>
    <col min="3" max="3" width="15.5703125" customWidth="1"/>
    <col min="4" max="4" width="18" customWidth="1"/>
    <col min="5" max="5" width="13.140625" customWidth="1"/>
    <col min="6" max="9" width="9.5703125" bestFit="1" customWidth="1"/>
    <col min="10" max="10" width="9.28515625" bestFit="1" customWidth="1"/>
    <col min="11" max="11" width="9.5703125" bestFit="1" customWidth="1"/>
    <col min="12" max="16" width="9.28515625" bestFit="1" customWidth="1"/>
    <col min="18" max="18" width="65.5703125" customWidth="1"/>
  </cols>
  <sheetData>
    <row r="2" spans="1:22" ht="18.75" x14ac:dyDescent="0.3">
      <c r="R2" s="280"/>
    </row>
    <row r="3" spans="1:22" ht="18.75" x14ac:dyDescent="0.3">
      <c r="R3" s="280"/>
    </row>
    <row r="4" spans="1:22" ht="18.75" x14ac:dyDescent="0.3">
      <c r="B4" s="266" t="s">
        <v>480</v>
      </c>
      <c r="J4" s="266" t="s">
        <v>562</v>
      </c>
    </row>
    <row r="6" spans="1:22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58">
        <f t="shared" si="0"/>
        <v>2015</v>
      </c>
      <c r="J6" s="63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1:22" ht="15.75" thickBot="1" x14ac:dyDescent="0.3">
      <c r="C7" s="2"/>
      <c r="D7" s="2"/>
      <c r="E7" s="276" t="s">
        <v>207</v>
      </c>
      <c r="F7" s="2"/>
      <c r="G7" s="2"/>
      <c r="H7" s="2"/>
      <c r="I7" s="59"/>
      <c r="J7" s="1"/>
      <c r="K7" s="2"/>
      <c r="L7" s="2"/>
      <c r="M7" s="2"/>
      <c r="N7" s="2"/>
      <c r="O7" s="2"/>
    </row>
    <row r="8" spans="1:22" ht="15.75" x14ac:dyDescent="0.25">
      <c r="A8" s="50" t="s">
        <v>178</v>
      </c>
      <c r="B8" s="839" t="s">
        <v>3</v>
      </c>
      <c r="C8" s="845" t="s">
        <v>82</v>
      </c>
      <c r="D8" s="846" t="s">
        <v>197</v>
      </c>
      <c r="E8" s="846" t="s">
        <v>208</v>
      </c>
      <c r="F8" s="840">
        <f>+Canada!F29</f>
        <v>185.7</v>
      </c>
      <c r="G8" s="840">
        <f>+Canada!G29</f>
        <v>52</v>
      </c>
      <c r="H8" s="840">
        <f>+Canada!H29</f>
        <v>0</v>
      </c>
      <c r="I8" s="843">
        <f>+Canada!I29</f>
        <v>0</v>
      </c>
      <c r="J8" s="847">
        <f>+Canada!J29</f>
        <v>0</v>
      </c>
      <c r="K8" s="840">
        <f>+Canada!K29</f>
        <v>0</v>
      </c>
      <c r="L8" s="840">
        <f>+Canada!L29</f>
        <v>0</v>
      </c>
      <c r="M8" s="840">
        <f>+Canada!M29</f>
        <v>0</v>
      </c>
      <c r="N8" s="840">
        <f>+Canada!N29</f>
        <v>0</v>
      </c>
      <c r="O8" s="840">
        <f>+Canada!O29</f>
        <v>0</v>
      </c>
      <c r="P8" s="843">
        <f>+Canada!P29</f>
        <v>0</v>
      </c>
    </row>
    <row r="9" spans="1:22" ht="15.75" x14ac:dyDescent="0.25">
      <c r="A9" s="290"/>
      <c r="B9" s="33" t="s">
        <v>4</v>
      </c>
      <c r="C9" s="643" t="s">
        <v>82</v>
      </c>
      <c r="D9" s="35" t="s">
        <v>197</v>
      </c>
      <c r="E9" s="35" t="s">
        <v>208</v>
      </c>
      <c r="F9" s="248">
        <f>+Canada!F30</f>
        <v>125.2</v>
      </c>
      <c r="G9" s="248">
        <f>+Canada!G30</f>
        <v>74.5</v>
      </c>
      <c r="H9" s="248">
        <f>+Canada!H30</f>
        <v>74.8</v>
      </c>
      <c r="I9" s="253">
        <f>+Canada!I30</f>
        <v>52</v>
      </c>
      <c r="J9" s="682">
        <f>+Canada!J30</f>
        <v>0</v>
      </c>
      <c r="K9" s="248">
        <f>+Canada!K30</f>
        <v>0</v>
      </c>
      <c r="L9" s="248">
        <f>+Canada!L30</f>
        <v>0</v>
      </c>
      <c r="M9" s="248">
        <f>+Canada!M30</f>
        <v>0</v>
      </c>
      <c r="N9" s="248">
        <f>+Canada!N30</f>
        <v>0</v>
      </c>
      <c r="O9" s="248">
        <f>+Canada!O30</f>
        <v>0</v>
      </c>
      <c r="P9" s="253">
        <f>+Canada!P30</f>
        <v>0</v>
      </c>
    </row>
    <row r="10" spans="1:22" ht="15.75" x14ac:dyDescent="0.25">
      <c r="A10" s="290"/>
      <c r="B10" s="33" t="s">
        <v>5</v>
      </c>
      <c r="C10" s="643" t="s">
        <v>82</v>
      </c>
      <c r="D10" s="35" t="s">
        <v>201</v>
      </c>
      <c r="E10" s="35" t="s">
        <v>208</v>
      </c>
      <c r="F10" s="248">
        <f>+Canada!F31</f>
        <v>0</v>
      </c>
      <c r="G10" s="248">
        <f>+Canada!G31</f>
        <v>0</v>
      </c>
      <c r="H10" s="248">
        <f>+Canada!H31</f>
        <v>0</v>
      </c>
      <c r="I10" s="253">
        <f>+Canada!I31</f>
        <v>0</v>
      </c>
      <c r="J10" s="682">
        <f>+Canada!J31</f>
        <v>51.6</v>
      </c>
      <c r="K10" s="248">
        <f>+Canada!K31</f>
        <v>60</v>
      </c>
      <c r="L10" s="248">
        <f>+Canada!L31</f>
        <v>50</v>
      </c>
      <c r="M10" s="248">
        <f>+Canada!M31</f>
        <v>50</v>
      </c>
      <c r="N10" s="248">
        <f>+Canada!N31</f>
        <v>40</v>
      </c>
      <c r="O10" s="248">
        <f>+Canada!O31</f>
        <v>0</v>
      </c>
      <c r="P10" s="253">
        <f>+Canada!P31</f>
        <v>0</v>
      </c>
    </row>
    <row r="11" spans="1:22" ht="15.75" x14ac:dyDescent="0.25">
      <c r="A11" s="290"/>
      <c r="B11" s="33" t="s">
        <v>6</v>
      </c>
      <c r="C11" s="643" t="s">
        <v>82</v>
      </c>
      <c r="D11" s="35" t="s">
        <v>201</v>
      </c>
      <c r="E11" s="35" t="s">
        <v>208</v>
      </c>
      <c r="F11" s="248">
        <f>+Canada!F32</f>
        <v>78.099999999999994</v>
      </c>
      <c r="G11" s="248">
        <f>+Canada!G32</f>
        <v>67.8</v>
      </c>
      <c r="H11" s="248">
        <f>+Canada!H32</f>
        <v>61</v>
      </c>
      <c r="I11" s="253">
        <f>+Canada!I32</f>
        <v>63.2</v>
      </c>
      <c r="J11" s="682">
        <f>+Canada!J32</f>
        <v>78.5</v>
      </c>
      <c r="K11" s="248">
        <f>+Canada!K32</f>
        <v>65</v>
      </c>
      <c r="L11" s="248">
        <f>+Canada!L32</f>
        <v>65</v>
      </c>
      <c r="M11" s="248">
        <f>+Canada!M32</f>
        <v>65</v>
      </c>
      <c r="N11" s="248">
        <f>+Canada!N32</f>
        <v>55</v>
      </c>
      <c r="O11" s="248">
        <f>+Canada!O32</f>
        <v>45</v>
      </c>
      <c r="P11" s="253">
        <f>+Canada!P32</f>
        <v>10</v>
      </c>
    </row>
    <row r="12" spans="1:22" ht="15.75" x14ac:dyDescent="0.25">
      <c r="A12" s="290"/>
      <c r="B12" s="33" t="s">
        <v>7</v>
      </c>
      <c r="C12" s="643" t="s">
        <v>25</v>
      </c>
      <c r="D12" s="35" t="s">
        <v>197</v>
      </c>
      <c r="E12" s="35" t="s">
        <v>208</v>
      </c>
      <c r="F12" s="248">
        <f>+Canada!F34</f>
        <v>18.899999999999999</v>
      </c>
      <c r="G12" s="248">
        <f>+Canada!G34</f>
        <v>12.2</v>
      </c>
      <c r="H12" s="248">
        <f>+Canada!H34</f>
        <v>15.6</v>
      </c>
      <c r="I12" s="251">
        <f>+Canada!I34</f>
        <v>8</v>
      </c>
      <c r="J12" s="252">
        <f>+Canada!J34</f>
        <v>0</v>
      </c>
      <c r="K12" s="248">
        <f>+Canada!K34</f>
        <v>0</v>
      </c>
      <c r="L12" s="248">
        <f>+Canada!L34</f>
        <v>0</v>
      </c>
      <c r="M12" s="248">
        <f>+Canada!M34</f>
        <v>0</v>
      </c>
      <c r="N12" s="248">
        <f>+Canada!N34</f>
        <v>0</v>
      </c>
      <c r="O12" s="248">
        <f>+Canada!O34</f>
        <v>0</v>
      </c>
      <c r="P12" s="253">
        <f>+Canada!P34</f>
        <v>0</v>
      </c>
      <c r="U12" s="265"/>
      <c r="V12" s="265"/>
    </row>
    <row r="13" spans="1:22" ht="15.75" x14ac:dyDescent="0.25">
      <c r="A13" s="290"/>
      <c r="B13" s="41">
        <v>777</v>
      </c>
      <c r="C13" s="644" t="s">
        <v>23</v>
      </c>
      <c r="D13" s="29" t="s">
        <v>198</v>
      </c>
      <c r="E13" s="29" t="s">
        <v>208</v>
      </c>
      <c r="F13" s="244">
        <f>+Canada!F36</f>
        <v>63.7</v>
      </c>
      <c r="G13" s="244">
        <f>+Canada!G36</f>
        <v>51.8</v>
      </c>
      <c r="H13" s="244">
        <f>+Canada!H36</f>
        <v>40.700000000000003</v>
      </c>
      <c r="I13" s="254">
        <f>+Canada!I36</f>
        <v>33.700000000000003</v>
      </c>
      <c r="J13" s="255">
        <f>+Canada!J36</f>
        <v>39.5</v>
      </c>
      <c r="K13" s="244">
        <f>+Canada!K36</f>
        <v>55</v>
      </c>
      <c r="L13" s="244">
        <f>+Canada!L36</f>
        <v>47</v>
      </c>
      <c r="M13" s="244">
        <f>+Canada!M36</f>
        <v>47</v>
      </c>
      <c r="N13" s="244">
        <f>+Canada!N36</f>
        <v>24</v>
      </c>
      <c r="O13" s="244">
        <f>+Canada!O36</f>
        <v>0</v>
      </c>
      <c r="P13" s="256">
        <f>+Canada!P36</f>
        <v>0</v>
      </c>
    </row>
    <row r="14" spans="1:22" ht="15.75" x14ac:dyDescent="0.25">
      <c r="A14" s="290"/>
      <c r="B14" s="33" t="s">
        <v>10</v>
      </c>
      <c r="C14" s="643" t="s">
        <v>23</v>
      </c>
      <c r="D14" s="35" t="s">
        <v>197</v>
      </c>
      <c r="E14" s="35" t="s">
        <v>208</v>
      </c>
      <c r="F14" s="248">
        <f>+Canada!F37</f>
        <v>17.2</v>
      </c>
      <c r="G14" s="248">
        <f>+Canada!G37</f>
        <v>34.700000000000003</v>
      </c>
      <c r="H14" s="248">
        <f>+Canada!H37</f>
        <v>41.9</v>
      </c>
      <c r="I14" s="251">
        <f>+Canada!I37</f>
        <v>0</v>
      </c>
      <c r="J14" s="252">
        <f>+Canada!J37</f>
        <v>0</v>
      </c>
      <c r="K14" s="248">
        <f>+Canada!K37</f>
        <v>0</v>
      </c>
      <c r="L14" s="248">
        <f>+Canada!L37</f>
        <v>0</v>
      </c>
      <c r="M14" s="248">
        <f>+Canada!M37</f>
        <v>0</v>
      </c>
      <c r="N14" s="248">
        <f>+Canada!N37</f>
        <v>0</v>
      </c>
      <c r="O14" s="248">
        <f>+Canada!O37</f>
        <v>0</v>
      </c>
      <c r="P14" s="253">
        <f>+Canada!P37</f>
        <v>0</v>
      </c>
      <c r="R14" t="s">
        <v>522</v>
      </c>
    </row>
    <row r="15" spans="1:22" ht="15.75" x14ac:dyDescent="0.25">
      <c r="A15" s="290"/>
      <c r="B15" s="27" t="s">
        <v>11</v>
      </c>
      <c r="C15" s="644" t="s">
        <v>190</v>
      </c>
      <c r="D15" s="29" t="s">
        <v>198</v>
      </c>
      <c r="E15" s="29" t="s">
        <v>208</v>
      </c>
      <c r="F15" s="683">
        <f>+Canada!F40</f>
        <v>32</v>
      </c>
      <c r="G15" s="683">
        <f>+Canada!G40</f>
        <v>36</v>
      </c>
      <c r="H15" s="244">
        <f>+Canada!H40</f>
        <v>38</v>
      </c>
      <c r="I15" s="254">
        <f>+Canada!I40</f>
        <v>39.9</v>
      </c>
      <c r="J15" s="255">
        <f>+Canada!J40</f>
        <v>34</v>
      </c>
      <c r="K15" s="244">
        <f>+Canada!K40</f>
        <v>40</v>
      </c>
      <c r="L15" s="244">
        <f>+Canada!L40</f>
        <v>40</v>
      </c>
      <c r="M15" s="244">
        <f>+Canada!M40</f>
        <v>40</v>
      </c>
      <c r="N15" s="244">
        <f>+Canada!N40</f>
        <v>36</v>
      </c>
      <c r="O15" s="244">
        <f>+Canada!O40</f>
        <v>0</v>
      </c>
      <c r="P15" s="256">
        <f>+Canada!P40</f>
        <v>0</v>
      </c>
    </row>
    <row r="16" spans="1:22" ht="15.75" x14ac:dyDescent="0.25">
      <c r="A16" s="791" t="s">
        <v>179</v>
      </c>
      <c r="B16" s="9" t="s">
        <v>26</v>
      </c>
      <c r="C16" s="645" t="s">
        <v>25</v>
      </c>
      <c r="D16" s="11" t="s">
        <v>201</v>
      </c>
      <c r="E16" s="11" t="s">
        <v>208</v>
      </c>
      <c r="F16" s="684">
        <f>+USA!F30</f>
        <v>0</v>
      </c>
      <c r="G16" s="684">
        <f>+USA!G30</f>
        <v>0</v>
      </c>
      <c r="H16" s="684">
        <f>+USA!H30</f>
        <v>0</v>
      </c>
      <c r="I16" s="685">
        <f>+USA!I30</f>
        <v>31</v>
      </c>
      <c r="J16" s="686">
        <f>+USA!J30</f>
        <v>34.1</v>
      </c>
      <c r="K16" s="684">
        <f>+USA!K30</f>
        <v>37.5</v>
      </c>
      <c r="L16" s="684">
        <f>+USA!L30</f>
        <v>40</v>
      </c>
      <c r="M16" s="684">
        <f>+USA!M30</f>
        <v>40</v>
      </c>
      <c r="N16" s="684">
        <f>+USA!N30</f>
        <v>40</v>
      </c>
      <c r="O16" s="684">
        <f>+USA!O30</f>
        <v>10</v>
      </c>
      <c r="P16" s="687">
        <f>+USA!P30</f>
        <v>0</v>
      </c>
    </row>
    <row r="17" spans="1:18" ht="15.75" x14ac:dyDescent="0.25">
      <c r="A17" s="290" t="s">
        <v>180</v>
      </c>
      <c r="B17" s="15" t="s">
        <v>35</v>
      </c>
      <c r="C17" s="642" t="s">
        <v>171</v>
      </c>
      <c r="D17" s="17" t="s">
        <v>201</v>
      </c>
      <c r="E17" s="17" t="s">
        <v>19</v>
      </c>
      <c r="F17" s="679">
        <f>+India!F25</f>
        <v>677.3</v>
      </c>
      <c r="G17" s="679">
        <f>+India!G25</f>
        <v>652.70000000000005</v>
      </c>
      <c r="H17" s="679">
        <f>+India!H25</f>
        <v>640.79999999999995</v>
      </c>
      <c r="I17" s="680">
        <f>+India!I25</f>
        <v>588.1</v>
      </c>
      <c r="J17" s="681">
        <f>+India!J25</f>
        <v>136</v>
      </c>
      <c r="K17" s="679">
        <f>+India!K25</f>
        <v>373</v>
      </c>
      <c r="L17" s="679">
        <f>+India!L25</f>
        <v>118</v>
      </c>
      <c r="M17" s="679">
        <f>+India!M25</f>
        <v>0</v>
      </c>
      <c r="N17" s="679">
        <f>+India!N25</f>
        <v>0</v>
      </c>
      <c r="O17" s="679">
        <f>+India!O25</f>
        <v>0</v>
      </c>
      <c r="P17" s="680">
        <f>+India!P25</f>
        <v>0</v>
      </c>
    </row>
    <row r="18" spans="1:18" ht="15.75" x14ac:dyDescent="0.25">
      <c r="A18" s="788"/>
      <c r="B18" s="74" t="s">
        <v>33</v>
      </c>
      <c r="C18" s="646" t="s">
        <v>171</v>
      </c>
      <c r="D18" s="76" t="s">
        <v>201</v>
      </c>
      <c r="E18" s="76" t="s">
        <v>208</v>
      </c>
      <c r="F18" s="688">
        <f>+India!F27</f>
        <v>0</v>
      </c>
      <c r="G18" s="688">
        <f>+India!G27</f>
        <v>0</v>
      </c>
      <c r="H18" s="688" t="str">
        <f>+India!H27</f>
        <v>incl.</v>
      </c>
      <c r="I18" s="689" t="str">
        <f>+India!I27</f>
        <v>incl.</v>
      </c>
      <c r="J18" s="690">
        <f>+India!J27</f>
        <v>110</v>
      </c>
      <c r="K18" s="688">
        <f>+India!K27</f>
        <v>118</v>
      </c>
      <c r="L18" s="688">
        <f>+India!L27</f>
        <v>118</v>
      </c>
      <c r="M18" s="688">
        <f>+India!M27</f>
        <v>118</v>
      </c>
      <c r="N18" s="688">
        <f>+India!N27</f>
        <v>110</v>
      </c>
      <c r="O18" s="688">
        <f>+India!O27</f>
        <v>45</v>
      </c>
      <c r="P18" s="691">
        <f>+India!P27</f>
        <v>0</v>
      </c>
    </row>
    <row r="19" spans="1:18" ht="15.75" x14ac:dyDescent="0.25">
      <c r="A19" s="290" t="s">
        <v>181</v>
      </c>
      <c r="B19" s="741" t="s">
        <v>508</v>
      </c>
      <c r="C19" s="34" t="s">
        <v>82</v>
      </c>
      <c r="D19" s="35" t="s">
        <v>504</v>
      </c>
      <c r="E19" s="35" t="s">
        <v>208</v>
      </c>
      <c r="F19" s="35">
        <v>0</v>
      </c>
      <c r="G19" s="248">
        <f>500*11%*0.703</f>
        <v>38.664999999999999</v>
      </c>
      <c r="H19" s="248">
        <f>970*12.7%*0.762</f>
        <v>93.870779999999996</v>
      </c>
      <c r="I19" s="251">
        <f>1200*15.5%*0.795</f>
        <v>147.87</v>
      </c>
      <c r="J19" s="40">
        <v>0</v>
      </c>
      <c r="K19" s="248">
        <f>800*14%*0.79</f>
        <v>88.480000000000018</v>
      </c>
      <c r="L19" s="248">
        <f>1600*14%*0.79</f>
        <v>176.96000000000004</v>
      </c>
      <c r="M19" s="248">
        <f>1600*13%*0.79</f>
        <v>164.32</v>
      </c>
      <c r="N19" s="248">
        <f>+M19</f>
        <v>164.32</v>
      </c>
      <c r="O19" s="248">
        <f>+N19</f>
        <v>164.32</v>
      </c>
      <c r="P19" s="38">
        <f>1300*13%*0.7</f>
        <v>118.3</v>
      </c>
      <c r="R19" s="904" t="s">
        <v>523</v>
      </c>
    </row>
    <row r="20" spans="1:18" ht="15.75" x14ac:dyDescent="0.25">
      <c r="A20" s="290"/>
      <c r="B20" s="741" t="s">
        <v>507</v>
      </c>
      <c r="C20" s="34" t="s">
        <v>82</v>
      </c>
      <c r="D20" s="35" t="s">
        <v>197</v>
      </c>
      <c r="E20" s="35" t="s">
        <v>19</v>
      </c>
      <c r="F20" s="248">
        <f>+Australia!F36</f>
        <v>58.413599999999995</v>
      </c>
      <c r="G20" s="248">
        <f>+Australia!G36</f>
        <v>57.364800000000002</v>
      </c>
      <c r="H20" s="248">
        <f>+Australia!H36</f>
        <v>28.163520000000002</v>
      </c>
      <c r="I20" s="39">
        <f>+Australia!I36</f>
        <v>0</v>
      </c>
      <c r="J20" s="37">
        <f>+Australia!J36</f>
        <v>0</v>
      </c>
      <c r="K20" s="35">
        <f>+Australia!K36</f>
        <v>0</v>
      </c>
      <c r="L20" s="35">
        <f>+Australia!L36</f>
        <v>0</v>
      </c>
      <c r="M20" s="35">
        <f>+Australia!M36</f>
        <v>0</v>
      </c>
      <c r="N20" s="35">
        <f>+Australia!N36</f>
        <v>0</v>
      </c>
      <c r="O20" s="35">
        <f>+Australia!O36</f>
        <v>0</v>
      </c>
      <c r="P20" s="38">
        <f>+Australia!P36</f>
        <v>0</v>
      </c>
      <c r="R20" s="338" t="s">
        <v>584</v>
      </c>
    </row>
    <row r="21" spans="1:18" ht="15.75" x14ac:dyDescent="0.25">
      <c r="A21" s="290"/>
      <c r="B21" s="903" t="s">
        <v>506</v>
      </c>
      <c r="C21" s="34" t="s">
        <v>82</v>
      </c>
      <c r="D21" s="35" t="s">
        <v>197</v>
      </c>
      <c r="E21" s="35" t="s">
        <v>19</v>
      </c>
      <c r="F21" s="248">
        <f>+Australia!F35</f>
        <v>144.46080000000003</v>
      </c>
      <c r="G21" s="248">
        <f>+Australia!G35</f>
        <v>105.1688</v>
      </c>
      <c r="H21" s="248">
        <f>+Australia!H35</f>
        <v>98.069399999999987</v>
      </c>
      <c r="I21" s="251">
        <f>+Australia!I35</f>
        <v>122.11199999999999</v>
      </c>
      <c r="J21" s="252">
        <f>+Australia!J35</f>
        <v>100.898</v>
      </c>
      <c r="K21" s="248">
        <f>+Australia!K35</f>
        <v>44.5</v>
      </c>
      <c r="L21" s="248">
        <f>+Australia!L35</f>
        <v>0</v>
      </c>
      <c r="M21" s="248">
        <f>+Australia!M35</f>
        <v>0</v>
      </c>
      <c r="N21" s="248">
        <f>+Australia!N35</f>
        <v>0</v>
      </c>
      <c r="O21" s="248">
        <f>+Australia!O35</f>
        <v>0</v>
      </c>
      <c r="P21" s="253">
        <f>+Australia!P35</f>
        <v>0</v>
      </c>
    </row>
    <row r="22" spans="1:18" ht="15.75" x14ac:dyDescent="0.25">
      <c r="A22" s="290"/>
      <c r="B22" s="626" t="s">
        <v>38</v>
      </c>
      <c r="C22" s="643" t="s">
        <v>172</v>
      </c>
      <c r="D22" s="35" t="s">
        <v>197</v>
      </c>
      <c r="E22" s="35" t="s">
        <v>19</v>
      </c>
      <c r="F22" s="248">
        <f>+Australia!F40</f>
        <v>514.70000000000005</v>
      </c>
      <c r="G22" s="248">
        <f>+Australia!G40</f>
        <v>488.2</v>
      </c>
      <c r="H22" s="248">
        <f>+Australia!H40</f>
        <v>465.7</v>
      </c>
      <c r="I22" s="251">
        <f>+Australia!I40</f>
        <v>392.7</v>
      </c>
      <c r="J22" s="252">
        <f>+Australia!J40</f>
        <v>16.5</v>
      </c>
      <c r="K22" s="248">
        <f>+Australia!K40</f>
        <v>0</v>
      </c>
      <c r="L22" s="248">
        <f>+Australia!L40</f>
        <v>0</v>
      </c>
      <c r="M22" s="248">
        <f>+Australia!M40</f>
        <v>0</v>
      </c>
      <c r="N22" s="248">
        <f>+Australia!N40</f>
        <v>0</v>
      </c>
      <c r="O22" s="248">
        <f>+Australia!O40</f>
        <v>0</v>
      </c>
      <c r="P22" s="253">
        <f>+Australia!P40</f>
        <v>0</v>
      </c>
    </row>
    <row r="23" spans="1:18" ht="15.75" x14ac:dyDescent="0.25">
      <c r="A23" s="290"/>
      <c r="B23" s="626" t="s">
        <v>40</v>
      </c>
      <c r="C23" s="647" t="s">
        <v>192</v>
      </c>
      <c r="D23" s="35" t="s">
        <v>271</v>
      </c>
      <c r="E23" s="35" t="s">
        <v>208</v>
      </c>
      <c r="F23" s="248">
        <f>+Australia!F42</f>
        <v>37.4</v>
      </c>
      <c r="G23" s="248">
        <f>+Australia!G42</f>
        <v>23.6</v>
      </c>
      <c r="H23" s="248">
        <f>+Australia!H42</f>
        <v>37.9</v>
      </c>
      <c r="I23" s="251">
        <f>+Australia!I42</f>
        <v>55.1</v>
      </c>
      <c r="J23" s="252">
        <v>39.200000000000003</v>
      </c>
      <c r="K23" s="692">
        <f>+Australia!K42</f>
        <v>39.200000000000003</v>
      </c>
      <c r="L23" s="248">
        <f>+Australia!L42</f>
        <v>39.200000000000003</v>
      </c>
      <c r="M23" s="248">
        <f>+Australia!M42</f>
        <v>39.200000000000003</v>
      </c>
      <c r="N23" s="248">
        <f>+Australia!N42</f>
        <v>39.200000000000003</v>
      </c>
      <c r="O23" s="248">
        <f>+Australia!O42</f>
        <v>39.200000000000003</v>
      </c>
      <c r="P23" s="253">
        <f>+Australia!P42</f>
        <v>0</v>
      </c>
    </row>
    <row r="24" spans="1:18" ht="15.75" x14ac:dyDescent="0.25">
      <c r="A24" s="290"/>
      <c r="B24" s="627" t="s">
        <v>46</v>
      </c>
      <c r="C24" s="648" t="s">
        <v>176</v>
      </c>
      <c r="D24" s="322" t="s">
        <v>271</v>
      </c>
      <c r="E24" s="628" t="s">
        <v>208</v>
      </c>
      <c r="F24" s="693">
        <v>16.600000000000001</v>
      </c>
      <c r="G24" s="693">
        <v>33.799999999999997</v>
      </c>
      <c r="H24" s="693">
        <v>41.2</v>
      </c>
      <c r="I24" s="694">
        <v>42</v>
      </c>
      <c r="J24" s="695">
        <v>37.4</v>
      </c>
      <c r="K24" s="696">
        <v>31.3</v>
      </c>
      <c r="L24" s="696">
        <v>26.1</v>
      </c>
      <c r="M24" s="696">
        <v>18.3</v>
      </c>
      <c r="N24" s="696">
        <v>0</v>
      </c>
      <c r="O24" s="696">
        <v>0</v>
      </c>
      <c r="P24" s="697">
        <v>0</v>
      </c>
      <c r="R24" t="s">
        <v>524</v>
      </c>
    </row>
    <row r="25" spans="1:18" ht="15.75" x14ac:dyDescent="0.25">
      <c r="A25" s="789" t="s">
        <v>182</v>
      </c>
      <c r="B25" s="630" t="s">
        <v>61</v>
      </c>
      <c r="C25" s="649" t="s">
        <v>150</v>
      </c>
      <c r="D25" s="631" t="s">
        <v>311</v>
      </c>
      <c r="E25" s="56" t="s">
        <v>19</v>
      </c>
      <c r="F25" s="698">
        <f>+Peru!F86</f>
        <v>49.6</v>
      </c>
      <c r="G25" s="698">
        <f>+Peru!G86</f>
        <v>20.3</v>
      </c>
      <c r="H25" s="698">
        <f>+Peru!H86</f>
        <v>14</v>
      </c>
      <c r="I25" s="699">
        <f>+Peru!I86</f>
        <v>13</v>
      </c>
      <c r="J25" s="700">
        <f>+Peru!J86</f>
        <v>3</v>
      </c>
      <c r="K25" s="698">
        <f>+Peru!K86</f>
        <v>5</v>
      </c>
      <c r="L25" s="698">
        <f>+Peru!L86</f>
        <v>5</v>
      </c>
      <c r="M25" s="698">
        <f>+Peru!M86</f>
        <v>5</v>
      </c>
      <c r="N25" s="698">
        <f>+Peru!N86</f>
        <v>0</v>
      </c>
      <c r="O25" s="698">
        <f>+Peru!O86</f>
        <v>0</v>
      </c>
      <c r="P25" s="699">
        <f>+Peru!P86</f>
        <v>0</v>
      </c>
      <c r="Q25" s="374"/>
      <c r="R25" s="388"/>
    </row>
    <row r="26" spans="1:18" ht="15.75" x14ac:dyDescent="0.25">
      <c r="A26" s="791" t="s">
        <v>341</v>
      </c>
      <c r="B26" s="632" t="s">
        <v>117</v>
      </c>
      <c r="C26" s="645" t="s">
        <v>140</v>
      </c>
      <c r="D26" s="11" t="s">
        <v>197</v>
      </c>
      <c r="E26" s="11" t="s">
        <v>208</v>
      </c>
      <c r="F26" s="701">
        <f>+Europe!G9</f>
        <v>169.5</v>
      </c>
      <c r="G26" s="701">
        <f>+Europe!H9</f>
        <v>151</v>
      </c>
      <c r="H26" s="701">
        <f>+Europe!I9</f>
        <v>131</v>
      </c>
      <c r="I26" s="702">
        <f>+Europe!J9</f>
        <v>70</v>
      </c>
      <c r="J26" s="703">
        <f>+Europe!K9</f>
        <v>0</v>
      </c>
      <c r="K26" s="701">
        <f>+Europe!L9</f>
        <v>0</v>
      </c>
      <c r="L26" s="701">
        <f>+Europe!M9</f>
        <v>0</v>
      </c>
      <c r="M26" s="701">
        <f>+Europe!N9</f>
        <v>0</v>
      </c>
      <c r="N26" s="701">
        <f>+Europe!O9</f>
        <v>0</v>
      </c>
      <c r="O26" s="701">
        <f>+Europe!P9</f>
        <v>0</v>
      </c>
      <c r="P26" s="702">
        <f>+Europe!Q9</f>
        <v>0</v>
      </c>
    </row>
    <row r="27" spans="1:18" ht="15.75" x14ac:dyDescent="0.25">
      <c r="A27" s="876" t="s">
        <v>342</v>
      </c>
      <c r="B27" s="634" t="s">
        <v>118</v>
      </c>
      <c r="C27" s="644" t="s">
        <v>141</v>
      </c>
      <c r="D27" s="29" t="s">
        <v>271</v>
      </c>
      <c r="E27" s="29" t="s">
        <v>208</v>
      </c>
      <c r="F27" s="704">
        <f>+Europe!G47</f>
        <v>17.5</v>
      </c>
      <c r="G27" s="704">
        <f>+Europe!H47</f>
        <v>20.6</v>
      </c>
      <c r="H27" s="704">
        <f>+Europe!I47</f>
        <v>21.1</v>
      </c>
      <c r="I27" s="705">
        <f>+Europe!J47</f>
        <v>12</v>
      </c>
      <c r="J27" s="706">
        <f>+Europe!K47</f>
        <v>13</v>
      </c>
      <c r="K27" s="704">
        <f>+Europe!L47</f>
        <v>16.506489999999999</v>
      </c>
      <c r="L27" s="704">
        <f>+Europe!M47</f>
        <v>13</v>
      </c>
      <c r="M27" s="704">
        <f>+Europe!N47</f>
        <v>13</v>
      </c>
      <c r="N27" s="704">
        <f>+Europe!O47</f>
        <v>0</v>
      </c>
      <c r="O27" s="704">
        <f>+Europe!P47</f>
        <v>0</v>
      </c>
      <c r="P27" s="705">
        <f>+Europe!Q47</f>
        <v>0</v>
      </c>
    </row>
    <row r="28" spans="1:18" ht="15.75" x14ac:dyDescent="0.25">
      <c r="A28" s="789" t="s">
        <v>343</v>
      </c>
      <c r="B28" s="636" t="s">
        <v>120</v>
      </c>
      <c r="C28" s="649" t="s">
        <v>142</v>
      </c>
      <c r="D28" s="56" t="s">
        <v>271</v>
      </c>
      <c r="E28" s="56" t="s">
        <v>208</v>
      </c>
      <c r="F28" s="707">
        <f>+Europe!G49</f>
        <v>25.6</v>
      </c>
      <c r="G28" s="707">
        <f>+Europe!H49</f>
        <v>21.7</v>
      </c>
      <c r="H28" s="707">
        <f>+Europe!I49</f>
        <v>19.8</v>
      </c>
      <c r="I28" s="708">
        <f>+Europe!J49</f>
        <v>21.3</v>
      </c>
      <c r="J28" s="709">
        <f>+Europe!K49</f>
        <v>20.8</v>
      </c>
      <c r="K28" s="707">
        <f>+Europe!L49</f>
        <v>15</v>
      </c>
      <c r="L28" s="707">
        <f>+Europe!M49</f>
        <v>15</v>
      </c>
      <c r="M28" s="707">
        <f>+Europe!N49</f>
        <v>10</v>
      </c>
      <c r="N28" s="707">
        <f>+Europe!O49</f>
        <v>0</v>
      </c>
      <c r="O28" s="707">
        <f>+Europe!P49</f>
        <v>0</v>
      </c>
      <c r="P28" s="708">
        <f>+Europe!Q49</f>
        <v>0</v>
      </c>
    </row>
    <row r="29" spans="1:18" ht="15.75" x14ac:dyDescent="0.25">
      <c r="A29" s="788"/>
      <c r="B29" s="637" t="s">
        <v>121</v>
      </c>
      <c r="C29" s="646" t="s">
        <v>139</v>
      </c>
      <c r="D29" s="76" t="s">
        <v>271</v>
      </c>
      <c r="E29" s="76" t="s">
        <v>208</v>
      </c>
      <c r="F29" s="710">
        <f>+Europe!G50</f>
        <v>0</v>
      </c>
      <c r="G29" s="710">
        <f>+Europe!H50</f>
        <v>1.5</v>
      </c>
      <c r="H29" s="710">
        <f>+Europe!I50</f>
        <v>2.2999999999999998</v>
      </c>
      <c r="I29" s="711">
        <f>+Europe!J50</f>
        <v>2.2000000000000002</v>
      </c>
      <c r="J29" s="712">
        <f>+Europe!K50</f>
        <v>2.5</v>
      </c>
      <c r="K29" s="710">
        <f>+Europe!L50</f>
        <v>2</v>
      </c>
      <c r="L29" s="710">
        <f>+Europe!M50</f>
        <v>2</v>
      </c>
      <c r="M29" s="710">
        <f>+Europe!N50</f>
        <v>2</v>
      </c>
      <c r="N29" s="710">
        <f>+Europe!O50</f>
        <v>2</v>
      </c>
      <c r="O29" s="710">
        <f>+Europe!P50</f>
        <v>0</v>
      </c>
      <c r="P29" s="711">
        <f>+Europe!Q50</f>
        <v>0</v>
      </c>
    </row>
    <row r="30" spans="1:18" ht="15.75" x14ac:dyDescent="0.25">
      <c r="A30" s="791" t="s">
        <v>347</v>
      </c>
      <c r="B30" s="633" t="s">
        <v>128</v>
      </c>
      <c r="C30" s="645" t="s">
        <v>142</v>
      </c>
      <c r="D30" s="11" t="s">
        <v>271</v>
      </c>
      <c r="E30" s="635" t="s">
        <v>208</v>
      </c>
      <c r="F30" s="701">
        <f>+Europe!G57</f>
        <v>40</v>
      </c>
      <c r="G30" s="701">
        <f>+Europe!H57</f>
        <v>43.1</v>
      </c>
      <c r="H30" s="701">
        <f>+Europe!I57</f>
        <v>36.200000000000003</v>
      </c>
      <c r="I30" s="702">
        <f>+Europe!J57</f>
        <v>19.8</v>
      </c>
      <c r="J30" s="703">
        <f>+Europe!K57</f>
        <v>8.1</v>
      </c>
      <c r="K30" s="701">
        <f>+Europe!L57</f>
        <v>5</v>
      </c>
      <c r="L30" s="701">
        <f>+Europe!M57</f>
        <v>5</v>
      </c>
      <c r="M30" s="701">
        <f>+Europe!N57</f>
        <v>5</v>
      </c>
      <c r="N30" s="701">
        <f>+Europe!O57</f>
        <v>0</v>
      </c>
      <c r="O30" s="701">
        <f>+Europe!P57</f>
        <v>0</v>
      </c>
      <c r="P30" s="702">
        <f>+Europe!Q57</f>
        <v>0</v>
      </c>
    </row>
    <row r="31" spans="1:18" ht="15.75" x14ac:dyDescent="0.25">
      <c r="A31" s="791" t="s">
        <v>348</v>
      </c>
      <c r="B31" s="633" t="s">
        <v>130</v>
      </c>
      <c r="C31" s="650" t="s">
        <v>146</v>
      </c>
      <c r="D31" s="11" t="s">
        <v>271</v>
      </c>
      <c r="E31" s="455" t="s">
        <v>208</v>
      </c>
      <c r="F31" s="701">
        <f>+Europe!G59</f>
        <v>76.7</v>
      </c>
      <c r="G31" s="701">
        <f>+Europe!H59</f>
        <v>75.900000000000006</v>
      </c>
      <c r="H31" s="701">
        <f>+Europe!I59</f>
        <v>56</v>
      </c>
      <c r="I31" s="702">
        <f>+Europe!J59</f>
        <v>50</v>
      </c>
      <c r="J31" s="703">
        <f>+Europe!K59</f>
        <v>50</v>
      </c>
      <c r="K31" s="701">
        <f>+Europe!L59</f>
        <v>20</v>
      </c>
      <c r="L31" s="701">
        <f>+Europe!M59</f>
        <v>0</v>
      </c>
      <c r="M31" s="701">
        <f>+Europe!N59</f>
        <v>0</v>
      </c>
      <c r="N31" s="701">
        <f>+Europe!O59</f>
        <v>0</v>
      </c>
      <c r="O31" s="701">
        <f>+Europe!P59</f>
        <v>0</v>
      </c>
      <c r="P31" s="702">
        <f>+Europe!Q59</f>
        <v>0</v>
      </c>
    </row>
    <row r="32" spans="1:18" ht="15.75" x14ac:dyDescent="0.25">
      <c r="A32" s="876" t="s">
        <v>184</v>
      </c>
      <c r="B32" s="641" t="s">
        <v>103</v>
      </c>
      <c r="C32" s="651" t="s">
        <v>85</v>
      </c>
      <c r="D32" s="186" t="s">
        <v>197</v>
      </c>
      <c r="E32" s="186" t="s">
        <v>208</v>
      </c>
      <c r="F32" s="638">
        <f>+Mexico!F118</f>
        <v>18.184999999999999</v>
      </c>
      <c r="G32" s="638">
        <f>+Mexico!G118</f>
        <v>21.777000000000001</v>
      </c>
      <c r="H32" s="638">
        <f>+Mexico!H118</f>
        <v>19.693999999999999</v>
      </c>
      <c r="I32" s="639">
        <f>+Mexico!I118</f>
        <v>0</v>
      </c>
      <c r="J32" s="640">
        <f>+Mexico!J118</f>
        <v>0</v>
      </c>
      <c r="K32" s="638">
        <f>+Mexico!K118</f>
        <v>0</v>
      </c>
      <c r="L32" s="638">
        <f>+Mexico!L118</f>
        <v>0</v>
      </c>
      <c r="M32" s="638">
        <f>+Mexico!M118</f>
        <v>0</v>
      </c>
      <c r="N32" s="638">
        <f>+Mexico!N118</f>
        <v>0</v>
      </c>
      <c r="O32" s="638">
        <f>+Mexico!O118</f>
        <v>0</v>
      </c>
      <c r="P32" s="639">
        <f>+Mexico!P118</f>
        <v>0</v>
      </c>
    </row>
    <row r="33" spans="1:18" ht="15.75" x14ac:dyDescent="0.25">
      <c r="A33" s="290"/>
      <c r="B33" s="653" t="s">
        <v>385</v>
      </c>
      <c r="C33" s="654" t="s">
        <v>94</v>
      </c>
      <c r="D33" s="178" t="s">
        <v>198</v>
      </c>
      <c r="E33" s="178" t="s">
        <v>208</v>
      </c>
      <c r="F33" s="655">
        <f>+Mexico!F147</f>
        <v>4.75</v>
      </c>
      <c r="G33" s="655">
        <f>+Mexico!G147</f>
        <v>4.5</v>
      </c>
      <c r="H33" s="655">
        <f>+Mexico!H147</f>
        <v>4.55</v>
      </c>
      <c r="I33" s="656">
        <f>+Mexico!I147</f>
        <v>3.35</v>
      </c>
      <c r="J33" s="657">
        <f>+Mexico!J147</f>
        <v>2.5</v>
      </c>
      <c r="K33" s="655">
        <f>+Mexico!K147</f>
        <v>3</v>
      </c>
      <c r="L33" s="655">
        <f>+Mexico!L147</f>
        <v>0</v>
      </c>
      <c r="M33" s="655">
        <f>+Mexico!M147</f>
        <v>0</v>
      </c>
      <c r="N33" s="655">
        <f>+Mexico!N147</f>
        <v>0</v>
      </c>
      <c r="O33" s="655">
        <f>+Mexico!O147</f>
        <v>0</v>
      </c>
      <c r="P33" s="656">
        <f>+Mexico!P147</f>
        <v>0</v>
      </c>
    </row>
    <row r="34" spans="1:18" ht="15.75" x14ac:dyDescent="0.25">
      <c r="A34" s="789" t="s">
        <v>477</v>
      </c>
      <c r="B34" s="658" t="s">
        <v>162</v>
      </c>
      <c r="C34" s="649" t="s">
        <v>140</v>
      </c>
      <c r="D34" s="659" t="s">
        <v>198</v>
      </c>
      <c r="E34" s="659" t="s">
        <v>208</v>
      </c>
      <c r="F34" s="660">
        <f>+Africa!F27</f>
        <v>38.576999999999998</v>
      </c>
      <c r="G34" s="660">
        <f>+Africa!G27</f>
        <v>28.998999999999999</v>
      </c>
      <c r="H34" s="660">
        <f>+Africa!H27</f>
        <v>27.021999999999998</v>
      </c>
      <c r="I34" s="661">
        <f>+Africa!I27</f>
        <v>29.271999999999998</v>
      </c>
      <c r="J34" s="662">
        <f>+Africa!J27</f>
        <v>30</v>
      </c>
      <c r="K34" s="660">
        <f>+Africa!K27</f>
        <v>30</v>
      </c>
      <c r="L34" s="660">
        <f>+Africa!L27</f>
        <v>30</v>
      </c>
      <c r="M34" s="660">
        <f>+Africa!M27</f>
        <v>30</v>
      </c>
      <c r="N34" s="660">
        <f>+Africa!N27</f>
        <v>20</v>
      </c>
      <c r="O34" s="660">
        <f>+Africa!O27</f>
        <v>0</v>
      </c>
      <c r="P34" s="661">
        <f>+Africa!P27</f>
        <v>0</v>
      </c>
    </row>
    <row r="35" spans="1:18" ht="15.75" x14ac:dyDescent="0.25">
      <c r="A35" s="877" t="s">
        <v>478</v>
      </c>
      <c r="B35" s="667" t="s">
        <v>163</v>
      </c>
      <c r="C35" s="645" t="s">
        <v>140</v>
      </c>
      <c r="D35" s="293" t="s">
        <v>198</v>
      </c>
      <c r="E35" s="293" t="s">
        <v>19</v>
      </c>
      <c r="F35" s="668">
        <f>+Africa!F28</f>
        <v>145.34200000000001</v>
      </c>
      <c r="G35" s="669">
        <f>+Africa!G28</f>
        <v>124.92400000000001</v>
      </c>
      <c r="H35" s="669">
        <f>+Africa!H28</f>
        <v>102.188</v>
      </c>
      <c r="I35" s="670">
        <f>+Africa!I28</f>
        <v>82.028999999999996</v>
      </c>
      <c r="J35" s="671">
        <f>+Africa!J28</f>
        <v>90</v>
      </c>
      <c r="K35" s="669">
        <f>+Africa!K28</f>
        <v>109</v>
      </c>
      <c r="L35" s="669">
        <f>+Africa!L28</f>
        <v>109</v>
      </c>
      <c r="M35" s="669">
        <f>+Africa!M28</f>
        <v>109</v>
      </c>
      <c r="N35" s="669">
        <f>+Africa!N28</f>
        <v>100</v>
      </c>
      <c r="O35" s="669">
        <f>+Africa!O28</f>
        <v>0</v>
      </c>
      <c r="P35" s="670">
        <f>+Africa!P28</f>
        <v>0</v>
      </c>
    </row>
    <row r="36" spans="1:18" ht="15.75" x14ac:dyDescent="0.25">
      <c r="A36" s="876" t="s">
        <v>479</v>
      </c>
      <c r="B36" s="673" t="s">
        <v>419</v>
      </c>
      <c r="C36" s="663" t="s">
        <v>399</v>
      </c>
      <c r="D36" s="664" t="s">
        <v>197</v>
      </c>
      <c r="E36" s="664" t="s">
        <v>208</v>
      </c>
      <c r="F36" s="171">
        <f>+Kazahkstan!F43</f>
        <v>13.6</v>
      </c>
      <c r="G36" s="171">
        <f>+Kazahkstan!G43</f>
        <v>11.3</v>
      </c>
      <c r="H36" s="171">
        <f>+Kazahkstan!H43</f>
        <v>7.7</v>
      </c>
      <c r="I36" s="665">
        <f>+Kazahkstan!I43</f>
        <v>4.5</v>
      </c>
      <c r="J36" s="672">
        <f>+Kazahkstan!J43</f>
        <v>6</v>
      </c>
      <c r="K36" s="171">
        <f>+Kazahkstan!K43</f>
        <v>0</v>
      </c>
      <c r="L36" s="171">
        <f>+Kazahkstan!L43</f>
        <v>0</v>
      </c>
      <c r="M36" s="171">
        <f>+Kazahkstan!M43</f>
        <v>0</v>
      </c>
      <c r="N36" s="171">
        <f>+Kazahkstan!N43</f>
        <v>0</v>
      </c>
      <c r="O36" s="171">
        <f>+Kazahkstan!O43</f>
        <v>0</v>
      </c>
      <c r="P36" s="666">
        <f>+Kazahkstan!P43</f>
        <v>0</v>
      </c>
    </row>
    <row r="37" spans="1:18" ht="15.75" x14ac:dyDescent="0.25">
      <c r="A37" s="290"/>
      <c r="B37" s="675" t="s">
        <v>418</v>
      </c>
      <c r="C37" s="652" t="s">
        <v>399</v>
      </c>
      <c r="D37" s="528" t="s">
        <v>197</v>
      </c>
      <c r="E37" s="528" t="s">
        <v>208</v>
      </c>
      <c r="F37" s="180">
        <f>+Kazahkstan!F44</f>
        <v>2.2999999999999998</v>
      </c>
      <c r="G37" s="180">
        <f>+Kazahkstan!G44</f>
        <v>0</v>
      </c>
      <c r="H37" s="180">
        <f>+Kazahkstan!H44</f>
        <v>0</v>
      </c>
      <c r="I37" s="510">
        <f>+Kazahkstan!I44</f>
        <v>0</v>
      </c>
      <c r="J37" s="674">
        <f>+Kazahkstan!J44</f>
        <v>0</v>
      </c>
      <c r="K37" s="180">
        <f>+Kazahkstan!K44</f>
        <v>0</v>
      </c>
      <c r="L37" s="180">
        <f>+Kazahkstan!L44</f>
        <v>0</v>
      </c>
      <c r="M37" s="180">
        <f>+Kazahkstan!M44</f>
        <v>0</v>
      </c>
      <c r="N37" s="180">
        <f>+Kazahkstan!N44</f>
        <v>0</v>
      </c>
      <c r="O37" s="180">
        <f>+Kazahkstan!O44</f>
        <v>0</v>
      </c>
      <c r="P37" s="480">
        <f>+Kazahkstan!P44</f>
        <v>0</v>
      </c>
    </row>
    <row r="38" spans="1:18" ht="15.75" x14ac:dyDescent="0.25">
      <c r="A38" s="290"/>
      <c r="B38" s="676" t="s">
        <v>390</v>
      </c>
      <c r="C38" s="663" t="s">
        <v>400</v>
      </c>
      <c r="D38" s="664" t="s">
        <v>515</v>
      </c>
      <c r="E38" s="677" t="s">
        <v>208</v>
      </c>
      <c r="F38" s="171">
        <f>+Kazahkstan!F48</f>
        <v>116</v>
      </c>
      <c r="G38" s="171">
        <f>+Kazahkstan!G48</f>
        <v>122.8</v>
      </c>
      <c r="H38" s="171">
        <f>+Kazahkstan!H48</f>
        <v>115.9</v>
      </c>
      <c r="I38" s="665">
        <f>+Kazahkstan!I48</f>
        <v>111.6</v>
      </c>
      <c r="J38" s="672">
        <f>+Kazahkstan!J48</f>
        <v>116.6</v>
      </c>
      <c r="K38" s="171">
        <f>+Kazahkstan!K48</f>
        <v>107.7</v>
      </c>
      <c r="L38" s="171">
        <f>+Kazahkstan!L48</f>
        <v>97.9</v>
      </c>
      <c r="M38" s="171">
        <f>+Kazahkstan!M48</f>
        <v>83.3</v>
      </c>
      <c r="N38" s="171">
        <f>+Kazahkstan!N48</f>
        <v>80.099999999999994</v>
      </c>
      <c r="O38" s="171">
        <f>+Kazahkstan!O48</f>
        <v>53.4</v>
      </c>
      <c r="P38" s="666">
        <f>+Kazahkstan!P48</f>
        <v>22.3</v>
      </c>
      <c r="Q38" s="547"/>
    </row>
    <row r="39" spans="1:18" ht="16.5" thickBot="1" x14ac:dyDescent="0.3">
      <c r="A39" s="789" t="s">
        <v>438</v>
      </c>
      <c r="B39" s="678" t="s">
        <v>440</v>
      </c>
      <c r="C39" s="569" t="s">
        <v>452</v>
      </c>
      <c r="D39" s="303" t="s">
        <v>197</v>
      </c>
      <c r="E39" s="303" t="s">
        <v>461</v>
      </c>
      <c r="F39" s="713">
        <f>+'S and C America'!G9</f>
        <v>5</v>
      </c>
      <c r="G39" s="713">
        <f>+'S and C America'!H9</f>
        <v>12.3</v>
      </c>
      <c r="H39" s="713">
        <f>+'S and C America'!I9</f>
        <v>13.6</v>
      </c>
      <c r="I39" s="714">
        <f>+'S and C America'!J9</f>
        <v>4.3</v>
      </c>
      <c r="J39" s="715">
        <f>+'S and C America'!K9</f>
        <v>0</v>
      </c>
      <c r="K39" s="713">
        <f>+'S and C America'!L9</f>
        <v>0</v>
      </c>
      <c r="L39" s="713">
        <f>+'S and C America'!M9</f>
        <v>0</v>
      </c>
      <c r="M39" s="713">
        <f>+'S and C America'!N9</f>
        <v>0</v>
      </c>
      <c r="N39" s="713">
        <f>+'S and C America'!O9</f>
        <v>0</v>
      </c>
      <c r="O39" s="713">
        <f>+'S and C America'!P9</f>
        <v>0</v>
      </c>
      <c r="P39" s="716">
        <f>+'S and C America'!Q9</f>
        <v>0</v>
      </c>
      <c r="R39" t="s">
        <v>516</v>
      </c>
    </row>
    <row r="40" spans="1:18" ht="15.75" x14ac:dyDescent="0.25">
      <c r="A40" s="844"/>
      <c r="B40" s="50" t="s">
        <v>15</v>
      </c>
      <c r="C40" s="44"/>
      <c r="D40" s="44"/>
      <c r="E40" s="44"/>
      <c r="F40" s="473">
        <f t="shared" ref="F40:P40" si="1">SUM(F8:F39)</f>
        <v>2692.3284000000003</v>
      </c>
      <c r="G40" s="473">
        <f t="shared" si="1"/>
        <v>2389.1986000000002</v>
      </c>
      <c r="H40" s="473">
        <f t="shared" si="1"/>
        <v>2248.7576999999997</v>
      </c>
      <c r="I40" s="717">
        <f t="shared" si="1"/>
        <v>1999.0329999999997</v>
      </c>
      <c r="J40" s="718">
        <f t="shared" si="1"/>
        <v>1020.198</v>
      </c>
      <c r="K40" s="473">
        <f t="shared" si="1"/>
        <v>1265.18649</v>
      </c>
      <c r="L40" s="473">
        <f t="shared" si="1"/>
        <v>997.16000000000008</v>
      </c>
      <c r="M40" s="473">
        <f t="shared" si="1"/>
        <v>839.11999999999989</v>
      </c>
      <c r="N40" s="473">
        <f t="shared" si="1"/>
        <v>710.62</v>
      </c>
      <c r="O40" s="473">
        <f t="shared" si="1"/>
        <v>356.91999999999996</v>
      </c>
      <c r="P40" s="717">
        <f t="shared" si="1"/>
        <v>150.60000000000002</v>
      </c>
    </row>
    <row r="41" spans="1:18" ht="15.75" x14ac:dyDescent="0.25">
      <c r="B41" s="27"/>
      <c r="C41" s="28"/>
      <c r="D41" s="28"/>
      <c r="E41" s="28"/>
      <c r="F41" s="28"/>
      <c r="G41" s="28"/>
      <c r="H41" s="28"/>
      <c r="I41" s="62"/>
      <c r="J41" s="66"/>
      <c r="K41" s="28"/>
      <c r="L41" s="28"/>
      <c r="M41" s="28"/>
      <c r="N41" s="28"/>
      <c r="O41" s="28"/>
      <c r="P41" s="62"/>
    </row>
    <row r="43" spans="1:18" x14ac:dyDescent="0.25">
      <c r="R43" t="s">
        <v>582</v>
      </c>
    </row>
    <row r="44" spans="1:18" x14ac:dyDescent="0.25">
      <c r="R44" t="s">
        <v>583</v>
      </c>
    </row>
    <row r="64" spans="2:5" ht="18.75" x14ac:dyDescent="0.3">
      <c r="B64" s="280" t="s">
        <v>211</v>
      </c>
      <c r="D64" s="166"/>
      <c r="E64" s="166"/>
    </row>
    <row r="65" spans="2:18" x14ac:dyDescent="0.25">
      <c r="D65" s="166"/>
      <c r="E65" s="166"/>
      <c r="R65" t="s">
        <v>415</v>
      </c>
    </row>
    <row r="66" spans="2:18" ht="15.75" x14ac:dyDescent="0.25">
      <c r="B66" t="s">
        <v>212</v>
      </c>
      <c r="C66" s="296">
        <v>51.6</v>
      </c>
      <c r="D66" s="166"/>
      <c r="E66" s="11" t="s">
        <v>209</v>
      </c>
      <c r="F66" t="s">
        <v>249</v>
      </c>
      <c r="R66" t="s">
        <v>412</v>
      </c>
    </row>
    <row r="67" spans="2:18" ht="15.75" x14ac:dyDescent="0.25">
      <c r="B67" t="s">
        <v>213</v>
      </c>
      <c r="C67" s="297">
        <v>49</v>
      </c>
      <c r="D67" s="166"/>
      <c r="E67" s="11" t="s">
        <v>201</v>
      </c>
      <c r="F67" t="s">
        <v>292</v>
      </c>
      <c r="R67" t="s">
        <v>413</v>
      </c>
    </row>
    <row r="68" spans="2:18" ht="15.75" x14ac:dyDescent="0.25">
      <c r="B68" t="s">
        <v>302</v>
      </c>
      <c r="C68" s="298">
        <v>36</v>
      </c>
      <c r="D68" s="166"/>
      <c r="E68" s="166"/>
      <c r="R68" t="s">
        <v>414</v>
      </c>
    </row>
    <row r="69" spans="2:18" x14ac:dyDescent="0.25">
      <c r="D69" s="166"/>
      <c r="E69" s="166"/>
      <c r="R69" t="s">
        <v>416</v>
      </c>
    </row>
    <row r="70" spans="2:18" ht="15.75" x14ac:dyDescent="0.25">
      <c r="D70" s="166"/>
      <c r="E70" s="6" t="s">
        <v>206</v>
      </c>
      <c r="F70" s="6">
        <v>2012</v>
      </c>
      <c r="G70" s="6">
        <f>+F70+1</f>
        <v>2013</v>
      </c>
      <c r="H70" s="6">
        <f t="shared" ref="H70:P70" si="2">+G70+1</f>
        <v>2014</v>
      </c>
      <c r="I70" s="7">
        <f t="shared" si="2"/>
        <v>2015</v>
      </c>
      <c r="J70" s="8">
        <f t="shared" si="2"/>
        <v>2016</v>
      </c>
      <c r="K70" s="6">
        <f t="shared" si="2"/>
        <v>2017</v>
      </c>
      <c r="L70" s="6">
        <f t="shared" si="2"/>
        <v>2018</v>
      </c>
      <c r="M70" s="6">
        <f t="shared" si="2"/>
        <v>2019</v>
      </c>
      <c r="N70" s="6">
        <f t="shared" si="2"/>
        <v>2020</v>
      </c>
      <c r="O70" s="6">
        <f t="shared" si="2"/>
        <v>2021</v>
      </c>
      <c r="P70" s="6">
        <f t="shared" si="2"/>
        <v>2022</v>
      </c>
    </row>
    <row r="71" spans="2:18" x14ac:dyDescent="0.25">
      <c r="D71" s="166"/>
      <c r="E71" s="276" t="s">
        <v>207</v>
      </c>
      <c r="F71" s="2"/>
      <c r="G71" s="2"/>
      <c r="H71" s="2"/>
      <c r="I71" s="3"/>
      <c r="J71" s="4"/>
      <c r="K71" s="2"/>
      <c r="L71" s="2"/>
      <c r="M71" s="2"/>
      <c r="N71" s="2"/>
      <c r="O71" s="2"/>
      <c r="P71" s="2"/>
    </row>
    <row r="72" spans="2:18" ht="15.75" x14ac:dyDescent="0.25">
      <c r="D72" s="166"/>
      <c r="E72" s="11" t="s">
        <v>208</v>
      </c>
      <c r="F72" s="293">
        <f>+F40-F73</f>
        <v>2506.6284000000005</v>
      </c>
      <c r="G72" s="293">
        <f t="shared" ref="G72:P72" si="3">+G40-G73</f>
        <v>2337.1986000000002</v>
      </c>
      <c r="H72" s="293">
        <f t="shared" si="3"/>
        <v>2248.7576999999997</v>
      </c>
      <c r="I72" s="294">
        <f t="shared" si="3"/>
        <v>1999.0329999999997</v>
      </c>
      <c r="J72" s="295">
        <f t="shared" si="3"/>
        <v>1020.198</v>
      </c>
      <c r="K72" s="293">
        <f t="shared" si="3"/>
        <v>1265.18649</v>
      </c>
      <c r="L72" s="293">
        <f t="shared" si="3"/>
        <v>997.16000000000008</v>
      </c>
      <c r="M72" s="293">
        <f t="shared" si="3"/>
        <v>839.11999999999989</v>
      </c>
      <c r="N72" s="293">
        <f t="shared" si="3"/>
        <v>710.62</v>
      </c>
      <c r="O72" s="293">
        <f t="shared" si="3"/>
        <v>356.91999999999996</v>
      </c>
      <c r="P72" s="293">
        <f t="shared" si="3"/>
        <v>150.60000000000002</v>
      </c>
    </row>
    <row r="73" spans="2:18" ht="15.75" x14ac:dyDescent="0.25">
      <c r="D73" s="166"/>
      <c r="E73" s="11" t="s">
        <v>19</v>
      </c>
      <c r="F73" s="293">
        <f>+F8</f>
        <v>185.7</v>
      </c>
      <c r="G73" s="293">
        <f t="shared" ref="G73:P73" si="4">+G8</f>
        <v>52</v>
      </c>
      <c r="H73" s="293">
        <f t="shared" si="4"/>
        <v>0</v>
      </c>
      <c r="I73" s="294">
        <f t="shared" si="4"/>
        <v>0</v>
      </c>
      <c r="J73" s="295">
        <f t="shared" si="4"/>
        <v>0</v>
      </c>
      <c r="K73" s="293">
        <f t="shared" si="4"/>
        <v>0</v>
      </c>
      <c r="L73" s="293">
        <f t="shared" si="4"/>
        <v>0</v>
      </c>
      <c r="M73" s="293">
        <f t="shared" si="4"/>
        <v>0</v>
      </c>
      <c r="N73" s="293">
        <f t="shared" si="4"/>
        <v>0</v>
      </c>
      <c r="O73" s="293">
        <f t="shared" si="4"/>
        <v>0</v>
      </c>
      <c r="P73" s="293">
        <f t="shared" si="4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8"/>
  <sheetViews>
    <sheetView workbookViewId="0"/>
  </sheetViews>
  <sheetFormatPr defaultRowHeight="15" x14ac:dyDescent="0.25"/>
  <cols>
    <col min="1" max="1" width="14.140625" customWidth="1"/>
    <col min="2" max="2" width="27" customWidth="1"/>
    <col min="3" max="3" width="15.5703125" customWidth="1"/>
    <col min="4" max="4" width="14" customWidth="1"/>
    <col min="5" max="5" width="13.140625" customWidth="1"/>
    <col min="6" max="9" width="9.5703125" customWidth="1"/>
    <col min="10" max="10" width="9.28515625" customWidth="1"/>
    <col min="11" max="11" width="9.5703125" customWidth="1"/>
    <col min="12" max="16" width="9.28515625" customWidth="1"/>
    <col min="18" max="18" width="65.5703125" customWidth="1"/>
  </cols>
  <sheetData>
    <row r="2" spans="1:19" ht="18.75" x14ac:dyDescent="0.3">
      <c r="I2" s="266" t="s">
        <v>562</v>
      </c>
    </row>
    <row r="3" spans="1:19" ht="18.75" x14ac:dyDescent="0.3">
      <c r="R3" s="280"/>
    </row>
    <row r="4" spans="1:19" ht="18.75" x14ac:dyDescent="0.3">
      <c r="B4" s="266" t="s">
        <v>482</v>
      </c>
      <c r="K4" s="719" t="s">
        <v>483</v>
      </c>
    </row>
    <row r="6" spans="1:19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58">
        <f t="shared" si="0"/>
        <v>2015</v>
      </c>
      <c r="J6" s="63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1:19" ht="15.75" thickBot="1" x14ac:dyDescent="0.3">
      <c r="C7" s="2"/>
      <c r="D7" s="2"/>
      <c r="E7" s="276" t="s">
        <v>207</v>
      </c>
      <c r="F7" s="2"/>
      <c r="G7" s="2"/>
      <c r="H7" s="2"/>
      <c r="I7" s="59"/>
      <c r="J7" s="1"/>
      <c r="K7" s="2"/>
      <c r="L7" s="2"/>
      <c r="M7" s="2"/>
      <c r="N7" s="2"/>
      <c r="O7" s="2"/>
    </row>
    <row r="8" spans="1:19" ht="15.75" x14ac:dyDescent="0.25">
      <c r="A8" s="844"/>
      <c r="B8" s="848"/>
      <c r="C8" s="849"/>
      <c r="D8" s="292"/>
      <c r="E8" s="292"/>
      <c r="F8" s="850"/>
      <c r="G8" s="850"/>
      <c r="H8" s="850"/>
      <c r="I8" s="851"/>
      <c r="J8" s="852"/>
      <c r="K8" s="850"/>
      <c r="L8" s="850"/>
      <c r="M8" s="850"/>
      <c r="N8" s="850"/>
      <c r="O8" s="850"/>
      <c r="P8" s="851"/>
    </row>
    <row r="9" spans="1:19" ht="15.75" x14ac:dyDescent="0.25">
      <c r="A9" s="789" t="s">
        <v>178</v>
      </c>
      <c r="B9" s="15" t="s">
        <v>12</v>
      </c>
      <c r="C9" s="16" t="s">
        <v>190</v>
      </c>
      <c r="D9" s="17" t="s">
        <v>200</v>
      </c>
      <c r="E9" s="17" t="s">
        <v>208</v>
      </c>
      <c r="F9" s="853">
        <f>+Canada!F41</f>
        <v>32</v>
      </c>
      <c r="G9" s="853">
        <f>+Canada!G41</f>
        <v>27</v>
      </c>
      <c r="H9" s="853">
        <f>+Canada!H41</f>
        <v>27</v>
      </c>
      <c r="I9" s="854">
        <f>+Canada!I41</f>
        <v>9</v>
      </c>
      <c r="J9" s="855">
        <f>+Canada!J41</f>
        <v>0</v>
      </c>
      <c r="K9" s="856">
        <v>15</v>
      </c>
      <c r="L9" s="856">
        <v>25</v>
      </c>
      <c r="M9" s="856">
        <v>25</v>
      </c>
      <c r="N9" s="856">
        <v>25</v>
      </c>
      <c r="O9" s="856">
        <v>25</v>
      </c>
      <c r="P9" s="857">
        <v>25</v>
      </c>
      <c r="R9" t="s">
        <v>484</v>
      </c>
    </row>
    <row r="10" spans="1:19" ht="15.75" x14ac:dyDescent="0.25">
      <c r="A10" s="290"/>
      <c r="B10" s="27" t="s">
        <v>13</v>
      </c>
      <c r="C10" s="28" t="s">
        <v>191</v>
      </c>
      <c r="D10" s="29" t="s">
        <v>209</v>
      </c>
      <c r="E10" s="29" t="s">
        <v>208</v>
      </c>
      <c r="F10" s="29">
        <f>+Canada!F42</f>
        <v>24.4</v>
      </c>
      <c r="G10" s="29">
        <f>+Canada!G42</f>
        <v>37</v>
      </c>
      <c r="H10" s="29">
        <f>+Canada!H42</f>
        <v>23</v>
      </c>
      <c r="I10" s="30">
        <f>+Canada!I42</f>
        <v>4.0999999999999996</v>
      </c>
      <c r="J10" s="724">
        <f>+Canada!J42</f>
        <v>0</v>
      </c>
      <c r="K10" s="725">
        <f>+Canada!K42</f>
        <v>0</v>
      </c>
      <c r="L10" s="725">
        <v>10</v>
      </c>
      <c r="M10" s="725">
        <v>30</v>
      </c>
      <c r="N10" s="725">
        <v>30</v>
      </c>
      <c r="O10" s="725">
        <f>+Canada!O42</f>
        <v>0</v>
      </c>
      <c r="P10" s="726">
        <f>+Canada!P42</f>
        <v>0</v>
      </c>
      <c r="R10" t="s">
        <v>487</v>
      </c>
    </row>
    <row r="11" spans="1:19" ht="15.75" x14ac:dyDescent="0.25">
      <c r="A11" s="791" t="s">
        <v>179</v>
      </c>
      <c r="B11" s="9" t="s">
        <v>22</v>
      </c>
      <c r="C11" s="10" t="s">
        <v>234</v>
      </c>
      <c r="D11" s="11" t="s">
        <v>209</v>
      </c>
      <c r="E11" s="11" t="s">
        <v>208</v>
      </c>
      <c r="F11" s="11">
        <f>+USA!F28</f>
        <v>0</v>
      </c>
      <c r="G11" s="11">
        <f>+USA!G28</f>
        <v>0</v>
      </c>
      <c r="H11" s="11">
        <f>+USA!H28</f>
        <v>0</v>
      </c>
      <c r="I11" s="12">
        <f>+USA!I28</f>
        <v>0</v>
      </c>
      <c r="J11" s="858">
        <f>+USA!J28</f>
        <v>0</v>
      </c>
      <c r="K11" s="859">
        <f>+USA!K28</f>
        <v>0</v>
      </c>
      <c r="L11" s="860">
        <v>10</v>
      </c>
      <c r="M11" s="860">
        <v>20</v>
      </c>
      <c r="N11" s="860">
        <v>30</v>
      </c>
      <c r="O11" s="860">
        <v>30</v>
      </c>
      <c r="P11" s="861">
        <v>30</v>
      </c>
      <c r="R11" t="s">
        <v>485</v>
      </c>
    </row>
    <row r="12" spans="1:19" ht="15.75" x14ac:dyDescent="0.25">
      <c r="A12" s="290" t="s">
        <v>181</v>
      </c>
      <c r="B12" s="27" t="s">
        <v>501</v>
      </c>
      <c r="C12" s="28" t="s">
        <v>196</v>
      </c>
      <c r="D12" s="29"/>
      <c r="E12" s="29"/>
      <c r="F12" s="29"/>
      <c r="G12" s="29"/>
      <c r="H12" s="29"/>
      <c r="I12" s="30"/>
      <c r="J12" s="724"/>
      <c r="K12" s="725"/>
      <c r="L12" s="862"/>
      <c r="M12" s="862"/>
      <c r="N12" s="862"/>
      <c r="O12" s="862"/>
      <c r="P12" s="863"/>
      <c r="R12" s="787" t="s">
        <v>511</v>
      </c>
    </row>
    <row r="13" spans="1:19" ht="15.75" x14ac:dyDescent="0.25">
      <c r="A13" s="791" t="s">
        <v>182</v>
      </c>
      <c r="B13" s="864" t="s">
        <v>56</v>
      </c>
      <c r="C13" s="10" t="s">
        <v>82</v>
      </c>
      <c r="D13" s="865" t="s">
        <v>318</v>
      </c>
      <c r="E13" s="11" t="s">
        <v>208</v>
      </c>
      <c r="F13" s="223">
        <f>+Peru!F81</f>
        <v>87.617000000000004</v>
      </c>
      <c r="G13" s="223">
        <f>+Peru!G81</f>
        <v>81.539000000000001</v>
      </c>
      <c r="H13" s="223">
        <f>+Peru!H81</f>
        <v>85.037000000000006</v>
      </c>
      <c r="I13" s="224">
        <f>+Peru!I81</f>
        <v>77.628</v>
      </c>
      <c r="J13" s="866">
        <f>+Peru!J81</f>
        <v>0</v>
      </c>
      <c r="K13" s="867">
        <v>20</v>
      </c>
      <c r="L13" s="867">
        <v>50</v>
      </c>
      <c r="M13" s="867">
        <v>50</v>
      </c>
      <c r="N13" s="867">
        <v>30</v>
      </c>
      <c r="O13" s="867">
        <f>+Peru!O81</f>
        <v>0</v>
      </c>
      <c r="P13" s="868">
        <f>+Peru!P81</f>
        <v>0</v>
      </c>
      <c r="Q13" s="374"/>
      <c r="R13" s="723" t="s">
        <v>486</v>
      </c>
      <c r="S13" t="s">
        <v>325</v>
      </c>
    </row>
    <row r="14" spans="1:19" ht="16.5" thickBot="1" x14ac:dyDescent="0.3">
      <c r="A14" s="622"/>
      <c r="B14" s="678"/>
      <c r="C14" s="569"/>
      <c r="D14" s="303"/>
      <c r="E14" s="303"/>
      <c r="F14" s="713"/>
      <c r="G14" s="713"/>
      <c r="H14" s="713"/>
      <c r="I14" s="714"/>
      <c r="J14" s="720"/>
      <c r="K14" s="721"/>
      <c r="L14" s="721"/>
      <c r="M14" s="721"/>
      <c r="N14" s="721"/>
      <c r="O14" s="721"/>
      <c r="P14" s="722"/>
    </row>
    <row r="15" spans="1:19" ht="15.75" x14ac:dyDescent="0.25">
      <c r="B15" s="50" t="s">
        <v>15</v>
      </c>
      <c r="C15" s="44"/>
      <c r="D15" s="44"/>
      <c r="E15" s="44"/>
      <c r="F15" s="473">
        <f>SUM(F8:F14)</f>
        <v>144.017</v>
      </c>
      <c r="G15" s="473">
        <f>SUM(G8:G14)</f>
        <v>145.53899999999999</v>
      </c>
      <c r="H15" s="473">
        <f>SUM(H8:H14)</f>
        <v>135.03700000000001</v>
      </c>
      <c r="I15" s="717">
        <f>SUM(I8:I14)</f>
        <v>90.727999999999994</v>
      </c>
      <c r="J15" s="727">
        <f>SUM(J8:J14)</f>
        <v>0</v>
      </c>
      <c r="K15" s="728">
        <f>SUM(K8:K14)</f>
        <v>35</v>
      </c>
      <c r="L15" s="728">
        <f>SUM(L8:L14)</f>
        <v>95</v>
      </c>
      <c r="M15" s="728">
        <f>SUM(M8:M14)</f>
        <v>125</v>
      </c>
      <c r="N15" s="728">
        <f>SUM(N8:N14)</f>
        <v>115</v>
      </c>
      <c r="O15" s="728">
        <f>SUM(O8:O14)</f>
        <v>55</v>
      </c>
      <c r="P15" s="729">
        <f>SUM(P8:P14)</f>
        <v>55</v>
      </c>
    </row>
    <row r="16" spans="1:19" ht="15.75" x14ac:dyDescent="0.25">
      <c r="B16" s="27"/>
      <c r="C16" s="28"/>
      <c r="D16" s="28"/>
      <c r="E16" s="28"/>
      <c r="F16" s="28"/>
      <c r="G16" s="28"/>
      <c r="H16" s="28"/>
      <c r="I16" s="62"/>
      <c r="J16" s="66"/>
      <c r="K16" s="28"/>
      <c r="L16" s="28"/>
      <c r="M16" s="28"/>
      <c r="N16" s="28"/>
      <c r="O16" s="28"/>
      <c r="P16" s="62"/>
    </row>
    <row r="39" spans="2:18" ht="18.75" x14ac:dyDescent="0.3">
      <c r="B39" s="280" t="s">
        <v>211</v>
      </c>
      <c r="D39" s="166"/>
      <c r="E39" s="166"/>
    </row>
    <row r="40" spans="2:18" x14ac:dyDescent="0.25">
      <c r="D40" s="166"/>
      <c r="E40" s="166"/>
      <c r="R40" t="s">
        <v>415</v>
      </c>
    </row>
    <row r="41" spans="2:18" ht="15.75" x14ac:dyDescent="0.25">
      <c r="B41" t="s">
        <v>212</v>
      </c>
      <c r="C41" s="296">
        <v>51.6</v>
      </c>
      <c r="D41" s="166"/>
      <c r="E41" s="11" t="s">
        <v>209</v>
      </c>
      <c r="F41" t="s">
        <v>249</v>
      </c>
      <c r="R41" t="s">
        <v>412</v>
      </c>
    </row>
    <row r="42" spans="2:18" ht="15.75" x14ac:dyDescent="0.25">
      <c r="B42" t="s">
        <v>213</v>
      </c>
      <c r="C42" s="297">
        <v>49</v>
      </c>
      <c r="D42" s="166"/>
      <c r="E42" s="11" t="s">
        <v>201</v>
      </c>
      <c r="F42" t="s">
        <v>292</v>
      </c>
      <c r="R42" t="s">
        <v>413</v>
      </c>
    </row>
    <row r="43" spans="2:18" ht="15.75" x14ac:dyDescent="0.25">
      <c r="B43" t="s">
        <v>302</v>
      </c>
      <c r="C43" s="298">
        <v>36</v>
      </c>
      <c r="D43" s="166"/>
      <c r="E43" s="166"/>
      <c r="R43" t="s">
        <v>414</v>
      </c>
    </row>
    <row r="44" spans="2:18" x14ac:dyDescent="0.25">
      <c r="D44" s="166"/>
      <c r="E44" s="166"/>
      <c r="R44" t="s">
        <v>416</v>
      </c>
    </row>
    <row r="45" spans="2:18" ht="15.75" x14ac:dyDescent="0.25">
      <c r="D45" s="166"/>
      <c r="E45" s="6" t="s">
        <v>206</v>
      </c>
      <c r="F45" s="6">
        <v>2012</v>
      </c>
      <c r="G45" s="6">
        <f>+F45+1</f>
        <v>2013</v>
      </c>
      <c r="H45" s="6">
        <f t="shared" ref="H45:P45" si="1">+G45+1</f>
        <v>2014</v>
      </c>
      <c r="I45" s="7">
        <f t="shared" si="1"/>
        <v>2015</v>
      </c>
      <c r="J45" s="8">
        <f t="shared" si="1"/>
        <v>2016</v>
      </c>
      <c r="K45" s="6">
        <f t="shared" si="1"/>
        <v>2017</v>
      </c>
      <c r="L45" s="6">
        <f t="shared" si="1"/>
        <v>2018</v>
      </c>
      <c r="M45" s="6">
        <f t="shared" si="1"/>
        <v>2019</v>
      </c>
      <c r="N45" s="6">
        <f t="shared" si="1"/>
        <v>2020</v>
      </c>
      <c r="O45" s="6">
        <f t="shared" si="1"/>
        <v>2021</v>
      </c>
      <c r="P45" s="6">
        <f t="shared" si="1"/>
        <v>2022</v>
      </c>
    </row>
    <row r="46" spans="2:18" x14ac:dyDescent="0.25">
      <c r="D46" s="166"/>
      <c r="E46" s="276" t="s">
        <v>207</v>
      </c>
      <c r="F46" s="2"/>
      <c r="G46" s="2"/>
      <c r="H46" s="2"/>
      <c r="I46" s="3"/>
      <c r="J46" s="4"/>
      <c r="K46" s="2"/>
      <c r="L46" s="2"/>
      <c r="M46" s="2"/>
      <c r="N46" s="2"/>
      <c r="O46" s="2"/>
      <c r="P46" s="2"/>
    </row>
    <row r="47" spans="2:18" ht="15.75" x14ac:dyDescent="0.25">
      <c r="D47" s="166"/>
      <c r="E47" s="11" t="s">
        <v>208</v>
      </c>
      <c r="F47" s="293">
        <f>+F15-F48</f>
        <v>144.017</v>
      </c>
      <c r="G47" s="293">
        <f t="shared" ref="G47:P47" si="2">+G15-G48</f>
        <v>145.53899999999999</v>
      </c>
      <c r="H47" s="293">
        <f t="shared" si="2"/>
        <v>135.03700000000001</v>
      </c>
      <c r="I47" s="294">
        <f t="shared" si="2"/>
        <v>90.727999999999994</v>
      </c>
      <c r="J47" s="295">
        <f t="shared" si="2"/>
        <v>0</v>
      </c>
      <c r="K47" s="293">
        <f t="shared" si="2"/>
        <v>35</v>
      </c>
      <c r="L47" s="293">
        <f t="shared" si="2"/>
        <v>95</v>
      </c>
      <c r="M47" s="293">
        <f t="shared" si="2"/>
        <v>125</v>
      </c>
      <c r="N47" s="293">
        <f t="shared" si="2"/>
        <v>115</v>
      </c>
      <c r="O47" s="293">
        <f t="shared" si="2"/>
        <v>55</v>
      </c>
      <c r="P47" s="293">
        <f t="shared" si="2"/>
        <v>55</v>
      </c>
    </row>
    <row r="48" spans="2:18" ht="15.75" x14ac:dyDescent="0.25">
      <c r="D48" s="166"/>
      <c r="E48" s="11" t="s">
        <v>19</v>
      </c>
      <c r="F48" s="293">
        <f>+F8</f>
        <v>0</v>
      </c>
      <c r="G48" s="293">
        <f t="shared" ref="G48:P48" si="3">+G8</f>
        <v>0</v>
      </c>
      <c r="H48" s="293">
        <f t="shared" si="3"/>
        <v>0</v>
      </c>
      <c r="I48" s="294">
        <f t="shared" si="3"/>
        <v>0</v>
      </c>
      <c r="J48" s="295">
        <f t="shared" si="3"/>
        <v>0</v>
      </c>
      <c r="K48" s="293">
        <f t="shared" si="3"/>
        <v>0</v>
      </c>
      <c r="L48" s="293">
        <f t="shared" si="3"/>
        <v>0</v>
      </c>
      <c r="M48" s="293">
        <f t="shared" si="3"/>
        <v>0</v>
      </c>
      <c r="N48" s="293">
        <f t="shared" si="3"/>
        <v>0</v>
      </c>
      <c r="O48" s="293">
        <f t="shared" si="3"/>
        <v>0</v>
      </c>
      <c r="P48" s="293">
        <f t="shared" si="3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52"/>
  <sheetViews>
    <sheetView workbookViewId="0"/>
  </sheetViews>
  <sheetFormatPr defaultRowHeight="15" x14ac:dyDescent="0.25"/>
  <cols>
    <col min="1" max="1" width="14.140625" customWidth="1"/>
    <col min="2" max="2" width="27" customWidth="1"/>
    <col min="3" max="3" width="15.5703125" customWidth="1"/>
    <col min="4" max="4" width="18.42578125" customWidth="1"/>
    <col min="5" max="5" width="13.140625" customWidth="1"/>
    <col min="6" max="9" width="9.5703125" customWidth="1"/>
    <col min="10" max="10" width="9.28515625" customWidth="1"/>
    <col min="11" max="11" width="9.5703125" customWidth="1"/>
    <col min="12" max="16" width="9.28515625" customWidth="1"/>
    <col min="18" max="18" width="82" customWidth="1"/>
  </cols>
  <sheetData>
    <row r="3" spans="1:18" ht="18.75" x14ac:dyDescent="0.3">
      <c r="R3" s="280"/>
    </row>
    <row r="4" spans="1:18" ht="18.75" x14ac:dyDescent="0.3">
      <c r="B4" s="266" t="s">
        <v>493</v>
      </c>
      <c r="J4" s="266" t="s">
        <v>562</v>
      </c>
    </row>
    <row r="6" spans="1:18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58">
        <f t="shared" si="0"/>
        <v>2015</v>
      </c>
      <c r="J6" s="63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1:18" ht="15.75" thickBot="1" x14ac:dyDescent="0.3">
      <c r="C7" s="2"/>
      <c r="D7" s="2"/>
      <c r="E7" s="276" t="s">
        <v>207</v>
      </c>
      <c r="F7" s="2"/>
      <c r="G7" s="2"/>
      <c r="H7" s="2"/>
      <c r="I7" s="59"/>
      <c r="J7" s="1"/>
      <c r="K7" s="2"/>
      <c r="L7" s="2"/>
      <c r="M7" s="2"/>
      <c r="N7" s="2"/>
      <c r="O7" s="2"/>
    </row>
    <row r="8" spans="1:18" ht="15.75" x14ac:dyDescent="0.25">
      <c r="A8" s="764"/>
      <c r="B8" s="869"/>
      <c r="C8" s="870"/>
      <c r="D8" s="871"/>
      <c r="E8" s="871"/>
      <c r="F8" s="872"/>
      <c r="G8" s="872"/>
      <c r="H8" s="872"/>
      <c r="I8" s="873"/>
      <c r="J8" s="874"/>
      <c r="K8" s="872"/>
      <c r="L8" s="872"/>
      <c r="M8" s="872"/>
      <c r="N8" s="872"/>
      <c r="O8" s="872"/>
      <c r="P8" s="873"/>
    </row>
    <row r="9" spans="1:18" ht="15.75" x14ac:dyDescent="0.25">
      <c r="A9" s="791" t="s">
        <v>179</v>
      </c>
      <c r="B9" s="9" t="s">
        <v>16</v>
      </c>
      <c r="C9" s="10" t="s">
        <v>17</v>
      </c>
      <c r="D9" s="776" t="s">
        <v>468</v>
      </c>
      <c r="E9" s="11" t="s">
        <v>208</v>
      </c>
      <c r="F9" s="684">
        <f>+USA!F25</f>
        <v>48</v>
      </c>
      <c r="G9" s="684">
        <f>+USA!G25</f>
        <v>50</v>
      </c>
      <c r="H9" s="684">
        <f>+USA!H25</f>
        <v>47</v>
      </c>
      <c r="I9" s="685">
        <f>+USA!I25</f>
        <v>47</v>
      </c>
      <c r="J9" s="686">
        <f>+USA!J25</f>
        <v>0</v>
      </c>
      <c r="K9" s="684">
        <f>+USA!K25</f>
        <v>20</v>
      </c>
      <c r="L9" s="684">
        <f>+USA!L25</f>
        <v>50</v>
      </c>
      <c r="M9" s="684">
        <f>+USA!M25</f>
        <v>50</v>
      </c>
      <c r="N9" s="684">
        <f>+USA!N25</f>
        <v>50</v>
      </c>
      <c r="O9" s="684">
        <f>+USA!O25</f>
        <v>50</v>
      </c>
      <c r="P9" s="685">
        <f>+USA!P25</f>
        <v>50</v>
      </c>
      <c r="R9" t="s">
        <v>204</v>
      </c>
    </row>
    <row r="10" spans="1:18" ht="15.75" x14ac:dyDescent="0.25">
      <c r="A10" s="791" t="s">
        <v>180</v>
      </c>
      <c r="B10" s="9" t="s">
        <v>30</v>
      </c>
      <c r="C10" s="10" t="s">
        <v>171</v>
      </c>
      <c r="D10" s="11" t="s">
        <v>320</v>
      </c>
      <c r="E10" s="11" t="s">
        <v>208</v>
      </c>
      <c r="F10" s="713">
        <f>+India!F28</f>
        <v>52.6</v>
      </c>
      <c r="G10" s="713">
        <f>+India!G28</f>
        <v>53.6</v>
      </c>
      <c r="H10" s="713">
        <f>+India!H28</f>
        <v>65.099999999999994</v>
      </c>
      <c r="I10" s="716">
        <f>+India!I28</f>
        <v>91</v>
      </c>
      <c r="J10" s="882">
        <f>+India!J28</f>
        <v>115</v>
      </c>
      <c r="K10" s="713">
        <f>+India!K28</f>
        <v>123</v>
      </c>
      <c r="L10" s="713">
        <f>+India!L28</f>
        <v>139</v>
      </c>
      <c r="M10" s="713">
        <f>+India!M28</f>
        <v>157</v>
      </c>
      <c r="N10" s="713">
        <f>+India!N28</f>
        <v>157</v>
      </c>
      <c r="O10" s="713">
        <f>+India!O28</f>
        <v>157</v>
      </c>
      <c r="P10" s="716">
        <f>+India!P28</f>
        <v>157</v>
      </c>
      <c r="R10" t="s">
        <v>497</v>
      </c>
    </row>
    <row r="11" spans="1:18" ht="15.75" x14ac:dyDescent="0.25">
      <c r="A11" s="791" t="s">
        <v>181</v>
      </c>
      <c r="B11" s="741" t="s">
        <v>508</v>
      </c>
      <c r="C11" s="34" t="s">
        <v>82</v>
      </c>
      <c r="D11" s="35" t="s">
        <v>514</v>
      </c>
      <c r="E11" s="35" t="s">
        <v>208</v>
      </c>
      <c r="F11" s="248">
        <v>0</v>
      </c>
      <c r="G11" s="248">
        <f>500*11%*0.703</f>
        <v>38.664999999999999</v>
      </c>
      <c r="H11" s="248">
        <f>970*12.7%*0.762</f>
        <v>93.870779999999996</v>
      </c>
      <c r="I11" s="251">
        <f>1200*15.5%*0.795</f>
        <v>147.87</v>
      </c>
      <c r="J11" s="252">
        <v>0</v>
      </c>
      <c r="K11" s="248">
        <f>800*14%*0.79</f>
        <v>88.480000000000018</v>
      </c>
      <c r="L11" s="248">
        <f>1600*14%*0.79</f>
        <v>176.96000000000004</v>
      </c>
      <c r="M11" s="248">
        <f>1600*13%*0.79</f>
        <v>164.32</v>
      </c>
      <c r="N11" s="248">
        <f>+M11</f>
        <v>164.32</v>
      </c>
      <c r="O11" s="248">
        <f>+N11</f>
        <v>164.32</v>
      </c>
      <c r="P11" s="253">
        <f>1300*13%*0.7</f>
        <v>118.3</v>
      </c>
      <c r="R11" t="s">
        <v>495</v>
      </c>
    </row>
    <row r="12" spans="1:18" ht="15.75" x14ac:dyDescent="0.25">
      <c r="A12" s="791"/>
      <c r="B12" s="260" t="s">
        <v>509</v>
      </c>
      <c r="C12" s="28" t="s">
        <v>82</v>
      </c>
      <c r="D12" s="29" t="s">
        <v>199</v>
      </c>
      <c r="E12" s="29" t="s">
        <v>208</v>
      </c>
      <c r="F12" s="244">
        <f>3700*7.4%*0.684</f>
        <v>187.27920000000003</v>
      </c>
      <c r="G12" s="244">
        <f>4200*6.9%*0.703</f>
        <v>203.7294</v>
      </c>
      <c r="H12" s="244">
        <f>3900*7.3%*0.762</f>
        <v>216.94139999999999</v>
      </c>
      <c r="I12" s="254">
        <f>3800*6.9%*0.795</f>
        <v>208.44900000000004</v>
      </c>
      <c r="J12" s="255">
        <f>3500*6.9%*0.77</f>
        <v>185.95500000000001</v>
      </c>
      <c r="K12" s="244">
        <f>4000*7%*0.79</f>
        <v>221.20000000000002</v>
      </c>
      <c r="L12" s="244">
        <f>4500*7%*0.79</f>
        <v>248.85000000000005</v>
      </c>
      <c r="M12" s="244">
        <f>+L12</f>
        <v>248.85000000000005</v>
      </c>
      <c r="N12" s="244">
        <f>+M12</f>
        <v>248.85000000000005</v>
      </c>
      <c r="O12" s="244">
        <f>+N12</f>
        <v>248.85000000000005</v>
      </c>
      <c r="P12" s="472">
        <f>+O12</f>
        <v>248.85000000000005</v>
      </c>
    </row>
    <row r="13" spans="1:18" ht="15.75" x14ac:dyDescent="0.25">
      <c r="A13" s="877"/>
      <c r="B13" s="879" t="s">
        <v>262</v>
      </c>
      <c r="C13" s="880" t="s">
        <v>263</v>
      </c>
      <c r="D13" s="881" t="s">
        <v>330</v>
      </c>
      <c r="E13" s="881" t="s">
        <v>208</v>
      </c>
      <c r="F13" s="883">
        <f>+Australia!F53</f>
        <v>0</v>
      </c>
      <c r="G13" s="883">
        <f>+Australia!G53</f>
        <v>0</v>
      </c>
      <c r="H13" s="883">
        <f>+Australia!H53</f>
        <v>0</v>
      </c>
      <c r="I13" s="884">
        <f>+Australia!I53</f>
        <v>0</v>
      </c>
      <c r="J13" s="885">
        <f>+Australia!J53</f>
        <v>0</v>
      </c>
      <c r="K13" s="886">
        <f>+Australia!K53</f>
        <v>0</v>
      </c>
      <c r="L13" s="886">
        <f>+Australia!L53</f>
        <v>10</v>
      </c>
      <c r="M13" s="886">
        <f>+Australia!M53</f>
        <v>15</v>
      </c>
      <c r="N13" s="886">
        <f>+Australia!N53</f>
        <v>18</v>
      </c>
      <c r="O13" s="886">
        <f>+Australia!O53</f>
        <v>18</v>
      </c>
      <c r="P13" s="887">
        <f>+Australia!P53</f>
        <v>18</v>
      </c>
    </row>
    <row r="14" spans="1:18" ht="15.75" x14ac:dyDescent="0.25">
      <c r="A14" s="891" t="s">
        <v>184</v>
      </c>
      <c r="B14" s="173" t="s">
        <v>194</v>
      </c>
      <c r="C14" s="240" t="s">
        <v>90</v>
      </c>
      <c r="D14" s="174" t="s">
        <v>320</v>
      </c>
      <c r="E14" s="174" t="s">
        <v>208</v>
      </c>
      <c r="F14" s="171">
        <f>+Mexico!F143</f>
        <v>5.6</v>
      </c>
      <c r="G14" s="892">
        <f>+Mexico!G143</f>
        <v>7.7</v>
      </c>
      <c r="H14" s="892">
        <f>+Mexico!H143</f>
        <v>8.91</v>
      </c>
      <c r="I14" s="893">
        <f>+Mexico!I143</f>
        <v>9.6999999999999993</v>
      </c>
      <c r="J14" s="894">
        <f>+Mexico!J143</f>
        <v>11.4</v>
      </c>
      <c r="K14" s="892">
        <f>+Mexico!K143</f>
        <v>19.5</v>
      </c>
      <c r="L14" s="892">
        <f>+Mexico!L143</f>
        <v>20</v>
      </c>
      <c r="M14" s="892">
        <f>+Mexico!M143</f>
        <v>20</v>
      </c>
      <c r="N14" s="892">
        <f>+Mexico!N143</f>
        <v>18</v>
      </c>
      <c r="O14" s="892">
        <f>+Mexico!O143</f>
        <v>18</v>
      </c>
      <c r="P14" s="893">
        <f>+Mexico!P143</f>
        <v>18</v>
      </c>
    </row>
    <row r="15" spans="1:18" ht="15.75" x14ac:dyDescent="0.25">
      <c r="A15" s="891"/>
      <c r="B15" s="173" t="s">
        <v>379</v>
      </c>
      <c r="C15" s="240" t="s">
        <v>92</v>
      </c>
      <c r="D15" s="174" t="s">
        <v>320</v>
      </c>
      <c r="E15" s="174" t="s">
        <v>208</v>
      </c>
      <c r="F15" s="175">
        <f>+Mexico!F145</f>
        <v>7.47</v>
      </c>
      <c r="G15" s="175">
        <f>+Mexico!G145</f>
        <v>6.6</v>
      </c>
      <c r="H15" s="175">
        <f>+Mexico!H145</f>
        <v>5.73</v>
      </c>
      <c r="I15" s="176">
        <f>+Mexico!I145</f>
        <v>5.2830000000000004</v>
      </c>
      <c r="J15" s="404">
        <f>+Mexico!J145</f>
        <v>4.8</v>
      </c>
      <c r="K15" s="175">
        <f>+Mexico!K145</f>
        <v>5</v>
      </c>
      <c r="L15" s="175">
        <f>+Mexico!L145</f>
        <v>10</v>
      </c>
      <c r="M15" s="175">
        <f>+Mexico!M145</f>
        <v>16</v>
      </c>
      <c r="N15" s="175">
        <f>+Mexico!N145</f>
        <v>18</v>
      </c>
      <c r="O15" s="175">
        <f>+Mexico!O145</f>
        <v>18</v>
      </c>
      <c r="P15" s="176">
        <f>+Mexico!P145</f>
        <v>18</v>
      </c>
    </row>
    <row r="16" spans="1:18" ht="15.75" x14ac:dyDescent="0.25">
      <c r="A16" s="788" t="s">
        <v>345</v>
      </c>
      <c r="B16" s="878" t="s">
        <v>126</v>
      </c>
      <c r="C16" s="22" t="s">
        <v>144</v>
      </c>
      <c r="D16" s="23" t="s">
        <v>320</v>
      </c>
      <c r="E16" s="23" t="s">
        <v>208</v>
      </c>
      <c r="F16" s="888">
        <f>+Europe!G55</f>
        <v>30</v>
      </c>
      <c r="G16" s="888">
        <f>+Europe!H55</f>
        <v>53.4</v>
      </c>
      <c r="H16" s="888">
        <f>+Europe!I55</f>
        <v>67.400000000000006</v>
      </c>
      <c r="I16" s="889">
        <f>+Europe!J55</f>
        <v>61.9</v>
      </c>
      <c r="J16" s="890">
        <f>+Europe!K55</f>
        <v>69.5</v>
      </c>
      <c r="K16" s="888">
        <f>+Europe!L55</f>
        <v>71</v>
      </c>
      <c r="L16" s="888">
        <f>+Europe!M55</f>
        <v>70</v>
      </c>
      <c r="M16" s="888">
        <f>+Europe!N55</f>
        <v>90</v>
      </c>
      <c r="N16" s="888">
        <f>+Europe!O55</f>
        <v>120</v>
      </c>
      <c r="O16" s="888">
        <f>+Europe!P55</f>
        <v>150</v>
      </c>
      <c r="P16" s="889">
        <f>+Europe!Q55</f>
        <v>150</v>
      </c>
      <c r="R16" t="s">
        <v>499</v>
      </c>
    </row>
    <row r="17" spans="1:22" ht="15.75" x14ac:dyDescent="0.25">
      <c r="A17" s="791" t="s">
        <v>346</v>
      </c>
      <c r="B17" s="222" t="s">
        <v>127</v>
      </c>
      <c r="C17" s="10" t="s">
        <v>145</v>
      </c>
      <c r="D17" s="11" t="s">
        <v>320</v>
      </c>
      <c r="E17" s="11" t="s">
        <v>208</v>
      </c>
      <c r="F17" s="701">
        <f>+Europe!G56</f>
        <v>28</v>
      </c>
      <c r="G17" s="701">
        <f>+Europe!H56</f>
        <v>30.9</v>
      </c>
      <c r="H17" s="701">
        <f>+Europe!I56</f>
        <v>31.6</v>
      </c>
      <c r="I17" s="702">
        <f>+Europe!J56</f>
        <v>55</v>
      </c>
      <c r="J17" s="703">
        <f>+Europe!K56</f>
        <v>75</v>
      </c>
      <c r="K17" s="701">
        <f>+Europe!L56</f>
        <v>75</v>
      </c>
      <c r="L17" s="701">
        <f>+Europe!M56</f>
        <v>75</v>
      </c>
      <c r="M17" s="701">
        <f>+Europe!N56</f>
        <v>75</v>
      </c>
      <c r="N17" s="701">
        <f>+Europe!O56</f>
        <v>75</v>
      </c>
      <c r="O17" s="701">
        <f>+Europe!P56</f>
        <v>75</v>
      </c>
      <c r="P17" s="702">
        <f>+Europe!Q56</f>
        <v>75</v>
      </c>
      <c r="R17" t="s">
        <v>498</v>
      </c>
      <c r="U17" s="265"/>
      <c r="V17" s="265"/>
    </row>
    <row r="18" spans="1:22" ht="16.5" thickBot="1" x14ac:dyDescent="0.3">
      <c r="A18" s="622"/>
      <c r="B18" s="678"/>
      <c r="C18" s="569"/>
      <c r="D18" s="303"/>
      <c r="E18" s="303"/>
      <c r="F18" s="713"/>
      <c r="G18" s="713"/>
      <c r="H18" s="713"/>
      <c r="I18" s="714"/>
      <c r="J18" s="715"/>
      <c r="K18" s="713"/>
      <c r="L18" s="713"/>
      <c r="M18" s="713"/>
      <c r="N18" s="713"/>
      <c r="O18" s="713"/>
      <c r="P18" s="716"/>
    </row>
    <row r="19" spans="1:22" ht="15.75" x14ac:dyDescent="0.25">
      <c r="B19" s="50" t="s">
        <v>15</v>
      </c>
      <c r="C19" s="44"/>
      <c r="D19" s="44"/>
      <c r="E19" s="44"/>
      <c r="F19" s="473">
        <f>SUM(F8:F18)</f>
        <v>358.94920000000008</v>
      </c>
      <c r="G19" s="473">
        <f>SUM(G8:G18)</f>
        <v>444.59439999999995</v>
      </c>
      <c r="H19" s="473">
        <f>SUM(H8:H18)</f>
        <v>536.55218000000002</v>
      </c>
      <c r="I19" s="717">
        <f>SUM(I8:I18)</f>
        <v>626.20200000000011</v>
      </c>
      <c r="J19" s="718">
        <f>SUM(J8:J18)</f>
        <v>461.65500000000003</v>
      </c>
      <c r="K19" s="473">
        <f>SUM(K8:K18)</f>
        <v>623.18000000000006</v>
      </c>
      <c r="L19" s="473">
        <f>SUM(L8:L18)</f>
        <v>799.81000000000006</v>
      </c>
      <c r="M19" s="473">
        <f>SUM(M8:M18)</f>
        <v>836.17000000000007</v>
      </c>
      <c r="N19" s="473">
        <f>SUM(N8:N18)</f>
        <v>869.17000000000007</v>
      </c>
      <c r="O19" s="473">
        <f>SUM(O8:O18)</f>
        <v>899.17000000000007</v>
      </c>
      <c r="P19" s="717">
        <f>SUM(P8:P18)</f>
        <v>853.15000000000009</v>
      </c>
    </row>
    <row r="20" spans="1:22" ht="15.75" x14ac:dyDescent="0.25">
      <c r="B20" s="27"/>
      <c r="C20" s="28"/>
      <c r="D20" s="28"/>
      <c r="E20" s="28"/>
      <c r="F20" s="28"/>
      <c r="G20" s="28"/>
      <c r="H20" s="28"/>
      <c r="I20" s="62"/>
      <c r="J20" s="66"/>
      <c r="K20" s="28"/>
      <c r="L20" s="28"/>
      <c r="M20" s="28"/>
      <c r="N20" s="28"/>
      <c r="O20" s="28"/>
      <c r="P20" s="62"/>
    </row>
    <row r="43" spans="2:18" ht="18.75" x14ac:dyDescent="0.3">
      <c r="B43" s="280" t="s">
        <v>211</v>
      </c>
      <c r="D43" s="166"/>
      <c r="E43" s="166"/>
    </row>
    <row r="44" spans="2:18" x14ac:dyDescent="0.25">
      <c r="D44" s="166"/>
      <c r="E44" s="166"/>
      <c r="R44" t="s">
        <v>415</v>
      </c>
    </row>
    <row r="45" spans="2:18" ht="15.75" x14ac:dyDescent="0.25">
      <c r="B45" t="s">
        <v>212</v>
      </c>
      <c r="C45" s="296">
        <v>51.6</v>
      </c>
      <c r="D45" s="166"/>
      <c r="E45" s="11" t="s">
        <v>209</v>
      </c>
      <c r="F45" t="s">
        <v>249</v>
      </c>
      <c r="R45" t="s">
        <v>412</v>
      </c>
    </row>
    <row r="46" spans="2:18" ht="15.75" x14ac:dyDescent="0.25">
      <c r="B46" t="s">
        <v>213</v>
      </c>
      <c r="C46" s="297">
        <v>49</v>
      </c>
      <c r="D46" s="166"/>
      <c r="E46" s="11" t="s">
        <v>201</v>
      </c>
      <c r="F46" t="s">
        <v>292</v>
      </c>
      <c r="R46" t="s">
        <v>413</v>
      </c>
    </row>
    <row r="47" spans="2:18" ht="15.75" x14ac:dyDescent="0.25">
      <c r="B47" t="s">
        <v>302</v>
      </c>
      <c r="C47" s="298">
        <v>36</v>
      </c>
      <c r="D47" s="166"/>
      <c r="E47" s="166"/>
      <c r="R47" t="s">
        <v>414</v>
      </c>
    </row>
    <row r="48" spans="2:18" x14ac:dyDescent="0.25">
      <c r="D48" s="166"/>
      <c r="E48" s="166"/>
      <c r="R48" t="s">
        <v>416</v>
      </c>
    </row>
    <row r="49" spans="4:16" ht="15.75" x14ac:dyDescent="0.25">
      <c r="D49" s="166"/>
      <c r="E49" s="6" t="s">
        <v>206</v>
      </c>
      <c r="F49" s="6">
        <v>2012</v>
      </c>
      <c r="G49" s="6">
        <f>+F49+1</f>
        <v>2013</v>
      </c>
      <c r="H49" s="6">
        <f t="shared" ref="H49:P49" si="1">+G49+1</f>
        <v>2014</v>
      </c>
      <c r="I49" s="7">
        <f t="shared" si="1"/>
        <v>2015</v>
      </c>
      <c r="J49" s="8">
        <f t="shared" si="1"/>
        <v>2016</v>
      </c>
      <c r="K49" s="6">
        <f t="shared" si="1"/>
        <v>2017</v>
      </c>
      <c r="L49" s="6">
        <f t="shared" si="1"/>
        <v>2018</v>
      </c>
      <c r="M49" s="6">
        <f t="shared" si="1"/>
        <v>2019</v>
      </c>
      <c r="N49" s="6">
        <f t="shared" si="1"/>
        <v>2020</v>
      </c>
      <c r="O49" s="6">
        <f t="shared" si="1"/>
        <v>2021</v>
      </c>
      <c r="P49" s="6">
        <f t="shared" si="1"/>
        <v>2022</v>
      </c>
    </row>
    <row r="50" spans="4:16" x14ac:dyDescent="0.25">
      <c r="D50" s="166"/>
      <c r="E50" s="276" t="s">
        <v>207</v>
      </c>
      <c r="F50" s="2"/>
      <c r="G50" s="2"/>
      <c r="H50" s="2"/>
      <c r="I50" s="3"/>
      <c r="J50" s="4"/>
      <c r="K50" s="2"/>
      <c r="L50" s="2"/>
      <c r="M50" s="2"/>
      <c r="N50" s="2"/>
      <c r="O50" s="2"/>
      <c r="P50" s="2"/>
    </row>
    <row r="51" spans="4:16" ht="15.75" x14ac:dyDescent="0.25">
      <c r="D51" s="166"/>
      <c r="E51" s="11" t="s">
        <v>208</v>
      </c>
      <c r="F51" s="293">
        <f>+F19-F52</f>
        <v>358.94920000000008</v>
      </c>
      <c r="G51" s="293">
        <f t="shared" ref="G51:P51" si="2">+G19-G52</f>
        <v>444.59439999999995</v>
      </c>
      <c r="H51" s="293">
        <f t="shared" si="2"/>
        <v>536.55218000000002</v>
      </c>
      <c r="I51" s="294">
        <f t="shared" si="2"/>
        <v>626.20200000000011</v>
      </c>
      <c r="J51" s="295">
        <f t="shared" si="2"/>
        <v>461.65500000000003</v>
      </c>
      <c r="K51" s="293">
        <f t="shared" si="2"/>
        <v>623.18000000000006</v>
      </c>
      <c r="L51" s="293">
        <f t="shared" si="2"/>
        <v>799.81000000000006</v>
      </c>
      <c r="M51" s="293">
        <f t="shared" si="2"/>
        <v>836.17000000000007</v>
      </c>
      <c r="N51" s="293">
        <f t="shared" si="2"/>
        <v>869.17000000000007</v>
      </c>
      <c r="O51" s="293">
        <f t="shared" si="2"/>
        <v>899.17000000000007</v>
      </c>
      <c r="P51" s="293">
        <f t="shared" si="2"/>
        <v>853.15000000000009</v>
      </c>
    </row>
    <row r="52" spans="4:16" ht="15.75" x14ac:dyDescent="0.25">
      <c r="D52" s="166"/>
      <c r="E52" s="11" t="s">
        <v>19</v>
      </c>
      <c r="F52" s="293">
        <f>+F8</f>
        <v>0</v>
      </c>
      <c r="G52" s="293">
        <f t="shared" ref="G52:P52" si="3">+G8</f>
        <v>0</v>
      </c>
      <c r="H52" s="293">
        <f t="shared" si="3"/>
        <v>0</v>
      </c>
      <c r="I52" s="294">
        <f t="shared" si="3"/>
        <v>0</v>
      </c>
      <c r="J52" s="295">
        <f t="shared" si="3"/>
        <v>0</v>
      </c>
      <c r="K52" s="293">
        <f t="shared" si="3"/>
        <v>0</v>
      </c>
      <c r="L52" s="293">
        <f t="shared" si="3"/>
        <v>0</v>
      </c>
      <c r="M52" s="293">
        <f t="shared" si="3"/>
        <v>0</v>
      </c>
      <c r="N52" s="293">
        <f t="shared" si="3"/>
        <v>0</v>
      </c>
      <c r="O52" s="293">
        <f t="shared" si="3"/>
        <v>0</v>
      </c>
      <c r="P52" s="293">
        <f t="shared" si="3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4"/>
  <sheetViews>
    <sheetView workbookViewId="0"/>
  </sheetViews>
  <sheetFormatPr defaultRowHeight="15" x14ac:dyDescent="0.25"/>
  <cols>
    <col min="1" max="1" width="14.140625" customWidth="1"/>
    <col min="2" max="2" width="27" customWidth="1"/>
    <col min="3" max="3" width="21" customWidth="1"/>
    <col min="4" max="4" width="14" customWidth="1"/>
    <col min="5" max="5" width="13.140625" customWidth="1"/>
    <col min="6" max="9" width="9.5703125" customWidth="1"/>
    <col min="10" max="10" width="9.28515625" customWidth="1"/>
    <col min="11" max="11" width="9.5703125" customWidth="1"/>
    <col min="12" max="16" width="9.28515625" customWidth="1"/>
    <col min="18" max="18" width="75" customWidth="1"/>
  </cols>
  <sheetData>
    <row r="2" spans="1:20" ht="18.75" x14ac:dyDescent="0.3">
      <c r="J2" s="266" t="s">
        <v>562</v>
      </c>
    </row>
    <row r="3" spans="1:20" ht="18.75" x14ac:dyDescent="0.3">
      <c r="R3" s="280"/>
    </row>
    <row r="4" spans="1:20" ht="18.75" x14ac:dyDescent="0.3">
      <c r="B4" s="266" t="s">
        <v>520</v>
      </c>
    </row>
    <row r="6" spans="1:20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732">
        <f t="shared" si="0"/>
        <v>2015</v>
      </c>
      <c r="J6" s="58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1:20" ht="15.75" thickBot="1" x14ac:dyDescent="0.3">
      <c r="C7" s="2"/>
      <c r="D7" s="2"/>
      <c r="E7" s="276" t="s">
        <v>207</v>
      </c>
      <c r="F7" s="2"/>
      <c r="G7" s="2"/>
      <c r="H7" s="2"/>
      <c r="I7" s="518"/>
      <c r="J7" s="59"/>
      <c r="K7" s="2"/>
      <c r="L7" s="2"/>
      <c r="M7" s="2"/>
      <c r="N7" s="2"/>
      <c r="O7" s="2"/>
    </row>
    <row r="8" spans="1:20" ht="15.75" x14ac:dyDescent="0.25">
      <c r="A8" s="875" t="s">
        <v>178</v>
      </c>
      <c r="B8" s="763" t="s">
        <v>216</v>
      </c>
      <c r="C8" s="760" t="s">
        <v>217</v>
      </c>
      <c r="D8" s="761" t="s">
        <v>218</v>
      </c>
      <c r="E8" s="761" t="s">
        <v>208</v>
      </c>
      <c r="F8" s="761">
        <v>0</v>
      </c>
      <c r="G8" s="761">
        <v>0</v>
      </c>
      <c r="H8" s="761">
        <v>0</v>
      </c>
      <c r="I8" s="762">
        <v>0</v>
      </c>
      <c r="J8" s="765">
        <v>0</v>
      </c>
      <c r="K8" s="766">
        <v>10</v>
      </c>
      <c r="L8" s="767">
        <v>15</v>
      </c>
      <c r="M8" s="767">
        <v>15</v>
      </c>
      <c r="N8" s="767">
        <v>15</v>
      </c>
      <c r="O8" s="767">
        <v>15</v>
      </c>
      <c r="P8" s="768">
        <v>15</v>
      </c>
      <c r="R8" t="s">
        <v>219</v>
      </c>
    </row>
    <row r="9" spans="1:20" ht="15.75" x14ac:dyDescent="0.25">
      <c r="A9" s="789" t="s">
        <v>180</v>
      </c>
      <c r="B9" s="52" t="s">
        <v>34</v>
      </c>
      <c r="C9" s="649" t="s">
        <v>171</v>
      </c>
      <c r="D9" s="56" t="s">
        <v>218</v>
      </c>
      <c r="E9" s="56" t="s">
        <v>208</v>
      </c>
      <c r="F9" s="247"/>
      <c r="G9" s="247"/>
      <c r="H9" s="247"/>
      <c r="I9" s="740"/>
      <c r="J9" s="742">
        <f>+India!J26</f>
        <v>128</v>
      </c>
      <c r="K9" s="247">
        <f>+India!K26</f>
        <v>167</v>
      </c>
      <c r="L9" s="247">
        <f>+India!L26</f>
        <v>231</v>
      </c>
      <c r="M9" s="247">
        <f>+India!M26</f>
        <v>295</v>
      </c>
      <c r="N9" s="247">
        <f>+India!N26</f>
        <v>411</v>
      </c>
      <c r="O9" s="247">
        <f>+India!O26</f>
        <v>449</v>
      </c>
      <c r="P9" s="249">
        <f>+India!P26</f>
        <v>449</v>
      </c>
      <c r="R9" t="s">
        <v>488</v>
      </c>
    </row>
    <row r="10" spans="1:20" ht="15.75" x14ac:dyDescent="0.25">
      <c r="A10" s="789" t="s">
        <v>181</v>
      </c>
      <c r="B10" s="81" t="s">
        <v>41</v>
      </c>
      <c r="C10" s="642" t="s">
        <v>172</v>
      </c>
      <c r="D10" s="17" t="s">
        <v>272</v>
      </c>
      <c r="E10" s="17" t="s">
        <v>208</v>
      </c>
      <c r="F10" s="679">
        <f>+Australia!F43</f>
        <v>0</v>
      </c>
      <c r="G10" s="679">
        <f>+Australia!G43</f>
        <v>0</v>
      </c>
      <c r="H10" s="679">
        <f>+Australia!H43</f>
        <v>0</v>
      </c>
      <c r="I10" s="733">
        <f>+Australia!I43</f>
        <v>0</v>
      </c>
      <c r="J10" s="756">
        <f>+Australia!J43</f>
        <v>0</v>
      </c>
      <c r="K10" s="679">
        <f>+Australia!K43</f>
        <v>0</v>
      </c>
      <c r="L10" s="679">
        <f>+Australia!L43</f>
        <v>42</v>
      </c>
      <c r="M10" s="679">
        <f>+Australia!M43</f>
        <v>125.6</v>
      </c>
      <c r="N10" s="679">
        <f>+Australia!N43</f>
        <v>167.4</v>
      </c>
      <c r="O10" s="679">
        <f>+Australia!O43</f>
        <v>172.7</v>
      </c>
      <c r="P10" s="757">
        <f>+Australia!P43</f>
        <v>177.9</v>
      </c>
      <c r="R10" t="s">
        <v>585</v>
      </c>
    </row>
    <row r="11" spans="1:20" ht="15.75" x14ac:dyDescent="0.25">
      <c r="A11" s="290"/>
      <c r="B11" s="730" t="s">
        <v>269</v>
      </c>
      <c r="C11" s="750" t="s">
        <v>268</v>
      </c>
      <c r="D11" s="42" t="s">
        <v>218</v>
      </c>
      <c r="E11" s="629" t="s">
        <v>208</v>
      </c>
      <c r="F11" s="683">
        <f>+Australia!F52</f>
        <v>0</v>
      </c>
      <c r="G11" s="683">
        <f>+Australia!G52</f>
        <v>0</v>
      </c>
      <c r="H11" s="683">
        <f>+Australia!H52</f>
        <v>0</v>
      </c>
      <c r="I11" s="743">
        <f>+Australia!I52</f>
        <v>0</v>
      </c>
      <c r="J11" s="744">
        <f>+Australia!J52</f>
        <v>0</v>
      </c>
      <c r="K11" s="683">
        <f>+Australia!K52</f>
        <v>5</v>
      </c>
      <c r="L11" s="683">
        <f>+Australia!L52</f>
        <v>15</v>
      </c>
      <c r="M11" s="683">
        <f>+Australia!M52</f>
        <v>20</v>
      </c>
      <c r="N11" s="683">
        <f>+Australia!N52</f>
        <v>25</v>
      </c>
      <c r="O11" s="683">
        <f>+Australia!O52</f>
        <v>25</v>
      </c>
      <c r="P11" s="745">
        <f>+Australia!P52</f>
        <v>25</v>
      </c>
      <c r="Q11" s="59"/>
      <c r="R11" s="59" t="s">
        <v>527</v>
      </c>
      <c r="S11" s="59"/>
      <c r="T11" s="59"/>
    </row>
    <row r="12" spans="1:20" ht="15.75" x14ac:dyDescent="0.25">
      <c r="A12" s="791" t="s">
        <v>342</v>
      </c>
      <c r="B12" s="222" t="s">
        <v>119</v>
      </c>
      <c r="C12" s="645" t="s">
        <v>141</v>
      </c>
      <c r="D12" s="11" t="s">
        <v>218</v>
      </c>
      <c r="E12" s="11" t="s">
        <v>208</v>
      </c>
      <c r="F12" s="701">
        <f>+Europe!G48</f>
        <v>0</v>
      </c>
      <c r="G12" s="701">
        <f>+Europe!H48</f>
        <v>0</v>
      </c>
      <c r="H12" s="701">
        <f>+Europe!I48</f>
        <v>0</v>
      </c>
      <c r="I12" s="747">
        <f>+Europe!J48</f>
        <v>0</v>
      </c>
      <c r="J12" s="748">
        <f>+Europe!K48</f>
        <v>0</v>
      </c>
      <c r="K12" s="701">
        <f>+Europe!L48</f>
        <v>7.3</v>
      </c>
      <c r="L12" s="701">
        <f>+Europe!M48</f>
        <v>12.5</v>
      </c>
      <c r="M12" s="701">
        <f>+Europe!N48</f>
        <v>12.5</v>
      </c>
      <c r="N12" s="701">
        <f>+Europe!O48</f>
        <v>12.5</v>
      </c>
      <c r="O12" s="701">
        <f>+Europe!P48</f>
        <v>12.5</v>
      </c>
      <c r="P12" s="702">
        <f>+Europe!Q48</f>
        <v>12.5</v>
      </c>
      <c r="Q12" s="59"/>
      <c r="R12" s="59"/>
      <c r="S12" s="59"/>
      <c r="T12" s="59"/>
    </row>
    <row r="13" spans="1:20" ht="15.75" x14ac:dyDescent="0.25">
      <c r="A13" s="876" t="s">
        <v>184</v>
      </c>
      <c r="B13" s="169" t="s">
        <v>102</v>
      </c>
      <c r="C13" s="751" t="s">
        <v>85</v>
      </c>
      <c r="D13" s="746" t="s">
        <v>272</v>
      </c>
      <c r="E13" s="746" t="s">
        <v>208</v>
      </c>
      <c r="F13" s="171">
        <f>+Mexico!F121</f>
        <v>0</v>
      </c>
      <c r="G13" s="171">
        <f>+Mexico!G121</f>
        <v>0</v>
      </c>
      <c r="H13" s="171">
        <f>+Mexico!H121</f>
        <v>0</v>
      </c>
      <c r="I13" s="665">
        <f>+Mexico!I121</f>
        <v>0</v>
      </c>
      <c r="J13" s="731">
        <f>+Mexico!J121</f>
        <v>0</v>
      </c>
      <c r="K13" s="171">
        <f>+Mexico!K121</f>
        <v>0</v>
      </c>
      <c r="L13" s="171">
        <f>+Mexico!L121</f>
        <v>20</v>
      </c>
      <c r="M13" s="171">
        <f>+Mexico!M121</f>
        <v>40</v>
      </c>
      <c r="N13" s="171">
        <f>+Mexico!N121</f>
        <v>40</v>
      </c>
      <c r="O13" s="171">
        <f>+Mexico!O121</f>
        <v>40</v>
      </c>
      <c r="P13" s="172">
        <f>+Mexico!P121</f>
        <v>40</v>
      </c>
      <c r="Q13" s="59"/>
      <c r="R13" s="59"/>
      <c r="S13" s="59"/>
      <c r="T13" s="59"/>
    </row>
    <row r="14" spans="1:20" ht="15.75" x14ac:dyDescent="0.25">
      <c r="A14" s="290"/>
      <c r="B14" s="173" t="s">
        <v>106</v>
      </c>
      <c r="C14" s="240" t="s">
        <v>86</v>
      </c>
      <c r="D14" s="759" t="s">
        <v>218</v>
      </c>
      <c r="E14" s="759" t="s">
        <v>208</v>
      </c>
      <c r="F14" s="175">
        <f>+Mexico!F127</f>
        <v>0</v>
      </c>
      <c r="G14" s="175">
        <f>+Mexico!G127</f>
        <v>0</v>
      </c>
      <c r="H14" s="175">
        <f>+Mexico!H127</f>
        <v>0</v>
      </c>
      <c r="I14" s="511">
        <f>+Mexico!I127</f>
        <v>0</v>
      </c>
      <c r="J14" s="503">
        <f>+Mexico!J127</f>
        <v>0</v>
      </c>
      <c r="K14" s="175">
        <f>+Mexico!K127</f>
        <v>10</v>
      </c>
      <c r="L14" s="175">
        <f>+Mexico!L127</f>
        <v>20</v>
      </c>
      <c r="M14" s="175">
        <f>+Mexico!M127</f>
        <v>20</v>
      </c>
      <c r="N14" s="175">
        <f>+Mexico!N127</f>
        <v>20</v>
      </c>
      <c r="O14" s="175">
        <f>+Mexico!O127</f>
        <v>20</v>
      </c>
      <c r="P14" s="176">
        <f>+Mexico!P127</f>
        <v>20</v>
      </c>
      <c r="Q14" s="59"/>
      <c r="R14" s="59"/>
      <c r="S14" s="59"/>
      <c r="T14" s="59"/>
    </row>
    <row r="15" spans="1:20" ht="15.75" x14ac:dyDescent="0.25">
      <c r="A15" s="290"/>
      <c r="B15" s="758" t="s">
        <v>110</v>
      </c>
      <c r="C15" s="751" t="s">
        <v>114</v>
      </c>
      <c r="D15" s="746" t="s">
        <v>272</v>
      </c>
      <c r="E15" s="746" t="s">
        <v>208</v>
      </c>
      <c r="F15" s="171">
        <f>+Mexico!F133</f>
        <v>0</v>
      </c>
      <c r="G15" s="171">
        <f>+Mexico!G133</f>
        <v>0</v>
      </c>
      <c r="H15" s="171">
        <f>+Mexico!H133</f>
        <v>0</v>
      </c>
      <c r="I15" s="665">
        <f>+Mexico!I133</f>
        <v>0</v>
      </c>
      <c r="J15" s="731">
        <f>+Mexico!J133</f>
        <v>0</v>
      </c>
      <c r="K15" s="171">
        <f>+Mexico!K133</f>
        <v>0</v>
      </c>
      <c r="L15" s="171">
        <f>+Mexico!L133</f>
        <v>0</v>
      </c>
      <c r="M15" s="171">
        <f>+Mexico!M133</f>
        <v>0</v>
      </c>
      <c r="N15" s="171">
        <f>+Mexico!N133</f>
        <v>0</v>
      </c>
      <c r="O15" s="171">
        <f>+Mexico!O133</f>
        <v>3</v>
      </c>
      <c r="P15" s="172">
        <f>+Mexico!P133</f>
        <v>7</v>
      </c>
      <c r="Q15" s="59"/>
      <c r="R15" s="59" t="s">
        <v>526</v>
      </c>
      <c r="S15" s="59"/>
      <c r="T15" s="59"/>
    </row>
    <row r="16" spans="1:20" ht="15.75" x14ac:dyDescent="0.25">
      <c r="A16" s="789" t="s">
        <v>477</v>
      </c>
      <c r="B16" s="769" t="s">
        <v>164</v>
      </c>
      <c r="C16" s="649" t="s">
        <v>140</v>
      </c>
      <c r="D16" s="659" t="s">
        <v>272</v>
      </c>
      <c r="E16" s="659" t="s">
        <v>19</v>
      </c>
      <c r="F16" s="660">
        <f>+Africa!F11</f>
        <v>0</v>
      </c>
      <c r="G16" s="660">
        <f>+Africa!G11</f>
        <v>0</v>
      </c>
      <c r="H16" s="660">
        <f>+Africa!H11</f>
        <v>0</v>
      </c>
      <c r="I16" s="770">
        <f>+Africa!I11</f>
        <v>0</v>
      </c>
      <c r="J16" s="771">
        <f>+Africa!J11</f>
        <v>0</v>
      </c>
      <c r="K16" s="660">
        <f>+Africa!K11</f>
        <v>0</v>
      </c>
      <c r="L16" s="660">
        <f>+Africa!L11</f>
        <v>0</v>
      </c>
      <c r="M16" s="660">
        <f>+Africa!M11</f>
        <v>100</v>
      </c>
      <c r="N16" s="660">
        <f>+Africa!N11</f>
        <v>180</v>
      </c>
      <c r="O16" s="660">
        <f>+Africa!O11</f>
        <v>250</v>
      </c>
      <c r="P16" s="661">
        <f>+Africa!P11</f>
        <v>250</v>
      </c>
      <c r="Q16" s="59"/>
      <c r="R16" s="59" t="s">
        <v>587</v>
      </c>
      <c r="S16" s="59"/>
      <c r="T16" s="59"/>
    </row>
    <row r="17" spans="1:20" ht="15.75" x14ac:dyDescent="0.25">
      <c r="A17" s="791" t="s">
        <v>494</v>
      </c>
      <c r="B17" s="772" t="s">
        <v>168</v>
      </c>
      <c r="C17" s="645" t="s">
        <v>170</v>
      </c>
      <c r="D17" s="293" t="s">
        <v>403</v>
      </c>
      <c r="E17" s="293" t="s">
        <v>208</v>
      </c>
      <c r="F17" s="668">
        <f>+Africa!F33</f>
        <v>0</v>
      </c>
      <c r="G17" s="668">
        <f>+Africa!G33</f>
        <v>0</v>
      </c>
      <c r="H17" s="668">
        <f>+Africa!H33</f>
        <v>0</v>
      </c>
      <c r="I17" s="773">
        <f>+Africa!I33</f>
        <v>0</v>
      </c>
      <c r="J17" s="774">
        <f>+Africa!J33</f>
        <v>0</v>
      </c>
      <c r="K17" s="668">
        <f>+Africa!K33</f>
        <v>0</v>
      </c>
      <c r="L17" s="668">
        <f>+Africa!L33</f>
        <v>0</v>
      </c>
      <c r="M17" s="668">
        <f>+Africa!M33</f>
        <v>60</v>
      </c>
      <c r="N17" s="668">
        <f>+Africa!N33</f>
        <v>180</v>
      </c>
      <c r="O17" s="668">
        <f>+Africa!O33</f>
        <v>240</v>
      </c>
      <c r="P17" s="775">
        <f>+Africa!P33</f>
        <v>240</v>
      </c>
      <c r="Q17" s="59"/>
      <c r="R17" s="59" t="s">
        <v>586</v>
      </c>
      <c r="S17" s="59"/>
      <c r="T17" s="59"/>
    </row>
    <row r="18" spans="1:20" ht="15.75" x14ac:dyDescent="0.25">
      <c r="A18" s="876" t="s">
        <v>462</v>
      </c>
      <c r="B18" s="749" t="s">
        <v>463</v>
      </c>
      <c r="C18" s="752" t="s">
        <v>145</v>
      </c>
      <c r="D18" s="735" t="s">
        <v>272</v>
      </c>
      <c r="E18" s="735" t="s">
        <v>19</v>
      </c>
      <c r="F18" s="736">
        <f>+'S and C America'!G30</f>
        <v>0</v>
      </c>
      <c r="G18" s="736">
        <f>+'S and C America'!H30</f>
        <v>0</v>
      </c>
      <c r="H18" s="736">
        <f>+'S and C America'!I30</f>
        <v>0</v>
      </c>
      <c r="I18" s="737">
        <f>+'S and C America'!J30</f>
        <v>0</v>
      </c>
      <c r="J18" s="738">
        <f>+'S and C America'!K30</f>
        <v>0</v>
      </c>
      <c r="K18" s="736">
        <f>+'S and C America'!L30</f>
        <v>10</v>
      </c>
      <c r="L18" s="736">
        <f>+'S and C America'!M30</f>
        <v>30</v>
      </c>
      <c r="M18" s="736">
        <f>+'S and C America'!N30</f>
        <v>50</v>
      </c>
      <c r="N18" s="736">
        <f>+'S and C America'!O30</f>
        <v>50</v>
      </c>
      <c r="O18" s="736">
        <f>+'S and C America'!P30</f>
        <v>50</v>
      </c>
      <c r="P18" s="739">
        <f>+'S and C America'!Q30</f>
        <v>50</v>
      </c>
    </row>
    <row r="19" spans="1:20" ht="15.75" x14ac:dyDescent="0.25">
      <c r="A19" s="791" t="s">
        <v>447</v>
      </c>
      <c r="B19" s="753" t="s">
        <v>450</v>
      </c>
      <c r="C19" s="569" t="s">
        <v>456</v>
      </c>
      <c r="D19" s="303" t="s">
        <v>460</v>
      </c>
      <c r="E19" s="303" t="s">
        <v>19</v>
      </c>
      <c r="F19" s="713">
        <f>+'S and C America'!G37</f>
        <v>0</v>
      </c>
      <c r="G19" s="713">
        <f>+'S and C America'!H37</f>
        <v>0</v>
      </c>
      <c r="H19" s="713">
        <f>+'S and C America'!I37</f>
        <v>0</v>
      </c>
      <c r="I19" s="754">
        <f>+'S and C America'!J37</f>
        <v>0</v>
      </c>
      <c r="J19" s="755">
        <f>+'S and C America'!K37</f>
        <v>0</v>
      </c>
      <c r="K19" s="713">
        <f>+'S and C America'!L37</f>
        <v>0</v>
      </c>
      <c r="L19" s="713">
        <f>+'S and C America'!M37</f>
        <v>0</v>
      </c>
      <c r="M19" s="713">
        <f>+'S and C America'!N37</f>
        <v>0</v>
      </c>
      <c r="N19" s="713">
        <f>+'S and C America'!O37</f>
        <v>0</v>
      </c>
      <c r="O19" s="713">
        <f>+'S and C America'!P37</f>
        <v>30</v>
      </c>
      <c r="P19" s="714">
        <f>+'S and C America'!Q37</f>
        <v>60</v>
      </c>
    </row>
    <row r="20" spans="1:20" ht="16.5" thickBot="1" x14ac:dyDescent="0.3">
      <c r="A20" s="622"/>
      <c r="B20" s="678"/>
      <c r="C20" s="569"/>
      <c r="D20" s="303"/>
      <c r="E20" s="303"/>
      <c r="F20" s="713"/>
      <c r="G20" s="713"/>
      <c r="H20" s="713"/>
      <c r="I20" s="714"/>
      <c r="J20" s="715"/>
      <c r="K20" s="713"/>
      <c r="L20" s="713"/>
      <c r="M20" s="713"/>
      <c r="N20" s="713"/>
      <c r="O20" s="713"/>
      <c r="P20" s="716"/>
    </row>
    <row r="21" spans="1:20" ht="15.75" x14ac:dyDescent="0.25">
      <c r="B21" s="50" t="s">
        <v>15</v>
      </c>
      <c r="C21" s="44"/>
      <c r="D21" s="44"/>
      <c r="E21" s="44"/>
      <c r="F21" s="473">
        <f>SUM(F8:F20)</f>
        <v>0</v>
      </c>
      <c r="G21" s="473">
        <f>SUM(G8:G20)</f>
        <v>0</v>
      </c>
      <c r="H21" s="473">
        <f>SUM(H8:H20)</f>
        <v>0</v>
      </c>
      <c r="I21" s="717">
        <f>SUM(I8:I20)</f>
        <v>0</v>
      </c>
      <c r="J21" s="718">
        <f>SUM(J8:J20)</f>
        <v>128</v>
      </c>
      <c r="K21" s="473">
        <f>SUM(K8:K20)</f>
        <v>209.3</v>
      </c>
      <c r="L21" s="473">
        <f>SUM(L8:L20)</f>
        <v>385.5</v>
      </c>
      <c r="M21" s="473">
        <f>SUM(M8:M20)</f>
        <v>738.1</v>
      </c>
      <c r="N21" s="473">
        <f>SUM(N8:N20)</f>
        <v>1100.9000000000001</v>
      </c>
      <c r="O21" s="473">
        <f>SUM(O8:O20)</f>
        <v>1307.2</v>
      </c>
      <c r="P21" s="717">
        <f>SUM(P8:P20)</f>
        <v>1346.4</v>
      </c>
    </row>
    <row r="22" spans="1:20" ht="15.75" x14ac:dyDescent="0.25">
      <c r="B22" s="27"/>
      <c r="C22" s="28"/>
      <c r="D22" s="28"/>
      <c r="E22" s="28"/>
      <c r="F22" s="28"/>
      <c r="G22" s="28"/>
      <c r="H22" s="28"/>
      <c r="I22" s="62"/>
      <c r="J22" s="66"/>
      <c r="K22" s="28"/>
      <c r="L22" s="28"/>
      <c r="M22" s="28"/>
      <c r="N22" s="28"/>
      <c r="O22" s="28"/>
      <c r="P22" s="62"/>
    </row>
    <row r="24" spans="1:20" x14ac:dyDescent="0.25">
      <c r="B24" t="s">
        <v>489</v>
      </c>
    </row>
    <row r="25" spans="1:20" x14ac:dyDescent="0.25">
      <c r="B25" t="s">
        <v>490</v>
      </c>
    </row>
    <row r="26" spans="1:20" x14ac:dyDescent="0.25">
      <c r="B26" t="s">
        <v>491</v>
      </c>
    </row>
    <row r="27" spans="1:20" x14ac:dyDescent="0.25">
      <c r="B27" t="s">
        <v>492</v>
      </c>
    </row>
    <row r="45" spans="2:18" ht="18.75" x14ac:dyDescent="0.3">
      <c r="B45" s="280" t="s">
        <v>211</v>
      </c>
      <c r="D45" s="166"/>
      <c r="E45" s="166"/>
    </row>
    <row r="46" spans="2:18" x14ac:dyDescent="0.25">
      <c r="D46" s="166"/>
      <c r="E46" s="166"/>
      <c r="R46" t="s">
        <v>415</v>
      </c>
    </row>
    <row r="47" spans="2:18" ht="15.75" x14ac:dyDescent="0.25">
      <c r="B47" t="s">
        <v>212</v>
      </c>
      <c r="C47" s="296">
        <v>51.6</v>
      </c>
      <c r="D47" s="166"/>
      <c r="E47" s="11" t="s">
        <v>209</v>
      </c>
      <c r="F47" t="s">
        <v>249</v>
      </c>
      <c r="R47" t="s">
        <v>412</v>
      </c>
    </row>
    <row r="48" spans="2:18" ht="15.75" x14ac:dyDescent="0.25">
      <c r="B48" t="s">
        <v>213</v>
      </c>
      <c r="C48" s="297">
        <v>49</v>
      </c>
      <c r="D48" s="166"/>
      <c r="E48" s="11" t="s">
        <v>201</v>
      </c>
      <c r="F48" t="s">
        <v>292</v>
      </c>
      <c r="R48" t="s">
        <v>413</v>
      </c>
    </row>
    <row r="49" spans="2:18" ht="15.75" x14ac:dyDescent="0.25">
      <c r="B49" t="s">
        <v>302</v>
      </c>
      <c r="C49" s="298">
        <v>36</v>
      </c>
      <c r="D49" s="166"/>
      <c r="E49" s="166"/>
      <c r="R49" t="s">
        <v>414</v>
      </c>
    </row>
    <row r="50" spans="2:18" x14ac:dyDescent="0.25">
      <c r="D50" s="166"/>
      <c r="E50" s="166"/>
      <c r="R50" t="s">
        <v>416</v>
      </c>
    </row>
    <row r="51" spans="2:18" ht="15.75" x14ac:dyDescent="0.25">
      <c r="D51" s="166"/>
      <c r="E51" s="6" t="s">
        <v>206</v>
      </c>
      <c r="F51" s="6">
        <v>2012</v>
      </c>
      <c r="G51" s="6">
        <f>+F51+1</f>
        <v>2013</v>
      </c>
      <c r="H51" s="6">
        <f t="shared" ref="H51:P51" si="1">+G51+1</f>
        <v>2014</v>
      </c>
      <c r="I51" s="7">
        <f t="shared" si="1"/>
        <v>2015</v>
      </c>
      <c r="J51" s="8">
        <f t="shared" si="1"/>
        <v>2016</v>
      </c>
      <c r="K51" s="6">
        <f t="shared" si="1"/>
        <v>2017</v>
      </c>
      <c r="L51" s="6">
        <f t="shared" si="1"/>
        <v>2018</v>
      </c>
      <c r="M51" s="6">
        <f t="shared" si="1"/>
        <v>2019</v>
      </c>
      <c r="N51" s="6">
        <f t="shared" si="1"/>
        <v>2020</v>
      </c>
      <c r="O51" s="6">
        <f t="shared" si="1"/>
        <v>2021</v>
      </c>
      <c r="P51" s="6">
        <f t="shared" si="1"/>
        <v>2022</v>
      </c>
    </row>
    <row r="52" spans="2:18" x14ac:dyDescent="0.25">
      <c r="D52" s="166"/>
      <c r="E52" s="276" t="s">
        <v>207</v>
      </c>
      <c r="F52" s="2"/>
      <c r="G52" s="2"/>
      <c r="H52" s="2"/>
      <c r="I52" s="3"/>
      <c r="J52" s="4"/>
      <c r="K52" s="2"/>
      <c r="L52" s="2"/>
      <c r="M52" s="2"/>
      <c r="N52" s="2"/>
      <c r="O52" s="2"/>
      <c r="P52" s="2"/>
    </row>
    <row r="53" spans="2:18" ht="15.75" x14ac:dyDescent="0.25">
      <c r="D53" s="166"/>
      <c r="E53" s="11" t="s">
        <v>208</v>
      </c>
      <c r="F53" s="293">
        <f>+F21-F54</f>
        <v>0</v>
      </c>
      <c r="G53" s="293">
        <f t="shared" ref="G53:P53" si="2">+G21-G54</f>
        <v>0</v>
      </c>
      <c r="H53" s="293">
        <f t="shared" si="2"/>
        <v>0</v>
      </c>
      <c r="I53" s="294">
        <f t="shared" si="2"/>
        <v>0</v>
      </c>
      <c r="J53" s="295">
        <f t="shared" si="2"/>
        <v>128</v>
      </c>
      <c r="K53" s="293">
        <f t="shared" si="2"/>
        <v>199.3</v>
      </c>
      <c r="L53" s="293">
        <f t="shared" si="2"/>
        <v>370.5</v>
      </c>
      <c r="M53" s="293">
        <f t="shared" si="2"/>
        <v>723.1</v>
      </c>
      <c r="N53" s="293">
        <f t="shared" si="2"/>
        <v>1085.9000000000001</v>
      </c>
      <c r="O53" s="293">
        <f t="shared" si="2"/>
        <v>1292.2</v>
      </c>
      <c r="P53" s="293">
        <f t="shared" si="2"/>
        <v>1331.4</v>
      </c>
    </row>
    <row r="54" spans="2:18" ht="15.75" x14ac:dyDescent="0.25">
      <c r="D54" s="166"/>
      <c r="E54" s="11" t="s">
        <v>19</v>
      </c>
      <c r="F54" s="293">
        <f>+F8</f>
        <v>0</v>
      </c>
      <c r="G54" s="293">
        <f t="shared" ref="G54:P54" si="3">+G8</f>
        <v>0</v>
      </c>
      <c r="H54" s="293">
        <f t="shared" si="3"/>
        <v>0</v>
      </c>
      <c r="I54" s="294">
        <f t="shared" si="3"/>
        <v>0</v>
      </c>
      <c r="J54" s="295">
        <f t="shared" si="3"/>
        <v>0</v>
      </c>
      <c r="K54" s="293">
        <f t="shared" si="3"/>
        <v>10</v>
      </c>
      <c r="L54" s="293">
        <f t="shared" si="3"/>
        <v>15</v>
      </c>
      <c r="M54" s="293">
        <f t="shared" si="3"/>
        <v>15</v>
      </c>
      <c r="N54" s="293">
        <f t="shared" si="3"/>
        <v>15</v>
      </c>
      <c r="O54" s="293">
        <f t="shared" si="3"/>
        <v>15</v>
      </c>
      <c r="P54" s="293">
        <f t="shared" si="3"/>
        <v>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5"/>
  <sheetViews>
    <sheetView workbookViewId="0"/>
  </sheetViews>
  <sheetFormatPr defaultRowHeight="15" x14ac:dyDescent="0.25"/>
  <cols>
    <col min="2" max="2" width="27" customWidth="1"/>
    <col min="3" max="3" width="15.5703125" customWidth="1"/>
    <col min="4" max="5" width="12.42578125" customWidth="1"/>
    <col min="18" max="18" width="78.140625" customWidth="1"/>
    <col min="19" max="19" width="22.28515625" customWidth="1"/>
  </cols>
  <sheetData>
    <row r="1" spans="2:22" ht="18.75" x14ac:dyDescent="0.3">
      <c r="B1" s="266" t="s">
        <v>550</v>
      </c>
      <c r="H1" s="266" t="s">
        <v>562</v>
      </c>
    </row>
    <row r="4" spans="2:22" ht="18.75" x14ac:dyDescent="0.3">
      <c r="B4" s="266" t="s">
        <v>248</v>
      </c>
    </row>
    <row r="6" spans="2:22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7">
        <f t="shared" si="0"/>
        <v>2015</v>
      </c>
      <c r="J6" s="8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2:22" x14ac:dyDescent="0.25">
      <c r="C7" s="2"/>
      <c r="D7" s="2"/>
      <c r="E7" s="276" t="s">
        <v>207</v>
      </c>
      <c r="F7" s="2"/>
      <c r="G7" s="2"/>
      <c r="H7" s="2"/>
      <c r="I7" s="3"/>
      <c r="J7" s="4"/>
      <c r="K7" s="2"/>
      <c r="L7" s="2"/>
      <c r="M7" s="2"/>
      <c r="N7" s="2"/>
      <c r="O7" s="2"/>
    </row>
    <row r="8" spans="2:22" ht="15.75" x14ac:dyDescent="0.25">
      <c r="B8" s="9" t="s">
        <v>3</v>
      </c>
      <c r="C8" s="10" t="s">
        <v>82</v>
      </c>
      <c r="D8" s="11" t="s">
        <v>197</v>
      </c>
      <c r="E8" s="11" t="s">
        <v>208</v>
      </c>
      <c r="F8" s="11">
        <v>185.7</v>
      </c>
      <c r="G8" s="11">
        <v>52</v>
      </c>
      <c r="H8" s="11">
        <v>0</v>
      </c>
      <c r="I8" s="12">
        <v>0</v>
      </c>
      <c r="J8" s="13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4">
        <v>0</v>
      </c>
    </row>
    <row r="9" spans="2:22" ht="15.75" x14ac:dyDescent="0.25">
      <c r="B9" s="15" t="s">
        <v>4</v>
      </c>
      <c r="C9" s="16" t="s">
        <v>82</v>
      </c>
      <c r="D9" s="17" t="s">
        <v>197</v>
      </c>
      <c r="E9" s="17" t="s">
        <v>208</v>
      </c>
      <c r="F9" s="17">
        <v>125.2</v>
      </c>
      <c r="G9" s="17">
        <v>74.5</v>
      </c>
      <c r="H9" s="17">
        <v>74.8</v>
      </c>
      <c r="I9" s="18">
        <v>52</v>
      </c>
      <c r="J9" s="19"/>
      <c r="K9" s="17"/>
      <c r="L9" s="17"/>
      <c r="M9" s="17"/>
      <c r="N9" s="17"/>
      <c r="O9" s="17"/>
      <c r="P9" s="20"/>
    </row>
    <row r="10" spans="2:22" ht="15.75" x14ac:dyDescent="0.25">
      <c r="B10" s="21" t="s">
        <v>5</v>
      </c>
      <c r="C10" s="22" t="s">
        <v>82</v>
      </c>
      <c r="D10" s="23" t="s">
        <v>201</v>
      </c>
      <c r="E10" s="23" t="s">
        <v>208</v>
      </c>
      <c r="F10" s="23"/>
      <c r="G10" s="23"/>
      <c r="H10" s="23"/>
      <c r="I10" s="24"/>
      <c r="J10" s="25">
        <v>60</v>
      </c>
      <c r="K10" s="23">
        <v>60</v>
      </c>
      <c r="L10" s="23">
        <v>50</v>
      </c>
      <c r="M10" s="23">
        <v>50</v>
      </c>
      <c r="N10" s="23">
        <v>40</v>
      </c>
      <c r="O10" s="23">
        <v>0</v>
      </c>
      <c r="P10" s="26">
        <v>0</v>
      </c>
    </row>
    <row r="11" spans="2:22" ht="15.75" x14ac:dyDescent="0.25">
      <c r="B11" s="27" t="s">
        <v>6</v>
      </c>
      <c r="C11" s="28" t="s">
        <v>82</v>
      </c>
      <c r="D11" s="29" t="s">
        <v>201</v>
      </c>
      <c r="E11" s="29" t="s">
        <v>208</v>
      </c>
      <c r="F11" s="29">
        <v>78.099999999999994</v>
      </c>
      <c r="G11" s="29">
        <v>67.8</v>
      </c>
      <c r="H11" s="29">
        <v>61</v>
      </c>
      <c r="I11" s="30">
        <v>63.2</v>
      </c>
      <c r="J11" s="31">
        <v>65</v>
      </c>
      <c r="K11" s="29">
        <v>65</v>
      </c>
      <c r="L11" s="29">
        <v>65</v>
      </c>
      <c r="M11" s="29">
        <v>65</v>
      </c>
      <c r="N11" s="29">
        <v>55</v>
      </c>
      <c r="O11" s="29">
        <v>45</v>
      </c>
      <c r="P11" s="32">
        <v>10</v>
      </c>
    </row>
    <row r="12" spans="2:22" ht="15.75" x14ac:dyDescent="0.25">
      <c r="B12" s="33" t="s">
        <v>14</v>
      </c>
      <c r="C12" s="34" t="s">
        <v>188</v>
      </c>
      <c r="D12" s="35" t="s">
        <v>199</v>
      </c>
      <c r="E12" s="35" t="s">
        <v>208</v>
      </c>
      <c r="F12" s="35">
        <v>0</v>
      </c>
      <c r="G12" s="35">
        <v>0</v>
      </c>
      <c r="H12" s="35">
        <v>0</v>
      </c>
      <c r="I12" s="36">
        <v>13</v>
      </c>
      <c r="J12" s="37">
        <v>35</v>
      </c>
      <c r="K12" s="35">
        <v>40</v>
      </c>
      <c r="L12" s="35">
        <v>40</v>
      </c>
      <c r="M12" s="35">
        <v>40</v>
      </c>
      <c r="N12" s="35">
        <v>40</v>
      </c>
      <c r="O12" s="35">
        <v>40</v>
      </c>
      <c r="P12" s="38">
        <v>20</v>
      </c>
    </row>
    <row r="13" spans="2:22" ht="15.75" x14ac:dyDescent="0.25">
      <c r="B13" s="33" t="s">
        <v>7</v>
      </c>
      <c r="C13" s="34" t="s">
        <v>25</v>
      </c>
      <c r="D13" s="35" t="s">
        <v>197</v>
      </c>
      <c r="E13" s="35" t="s">
        <v>208</v>
      </c>
      <c r="F13" s="35">
        <v>18.899999999999999</v>
      </c>
      <c r="G13" s="35">
        <v>12.2</v>
      </c>
      <c r="H13" s="35">
        <v>15.6</v>
      </c>
      <c r="I13" s="39">
        <v>8</v>
      </c>
      <c r="J13" s="40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8">
        <v>0</v>
      </c>
      <c r="U13" s="265"/>
      <c r="V13" s="265"/>
    </row>
    <row r="14" spans="2:22" ht="15.75" x14ac:dyDescent="0.25">
      <c r="B14" s="33" t="s">
        <v>8</v>
      </c>
      <c r="C14" s="34" t="s">
        <v>189</v>
      </c>
      <c r="D14" s="35" t="s">
        <v>199</v>
      </c>
      <c r="E14" s="35" t="s">
        <v>208</v>
      </c>
      <c r="F14" s="35">
        <v>45.4</v>
      </c>
      <c r="G14" s="35">
        <v>19.8</v>
      </c>
      <c r="H14" s="35">
        <v>10.5</v>
      </c>
      <c r="I14" s="39">
        <v>3.5</v>
      </c>
      <c r="J14" s="40">
        <v>4.0999999999999996</v>
      </c>
      <c r="K14" s="35">
        <v>5</v>
      </c>
      <c r="L14" s="35">
        <v>5</v>
      </c>
      <c r="M14" s="35">
        <v>5</v>
      </c>
      <c r="N14" s="35">
        <v>5</v>
      </c>
      <c r="O14" s="35">
        <v>5</v>
      </c>
      <c r="P14" s="38">
        <v>5</v>
      </c>
    </row>
    <row r="15" spans="2:22" ht="15.75" x14ac:dyDescent="0.25">
      <c r="B15" s="41">
        <v>777</v>
      </c>
      <c r="C15" s="28" t="s">
        <v>23</v>
      </c>
      <c r="D15" s="29" t="s">
        <v>198</v>
      </c>
      <c r="E15" s="29" t="s">
        <v>208</v>
      </c>
      <c r="F15" s="29">
        <v>63.7</v>
      </c>
      <c r="G15" s="29">
        <v>51.8</v>
      </c>
      <c r="H15" s="29">
        <v>40.700000000000003</v>
      </c>
      <c r="I15" s="30">
        <v>33.700000000000003</v>
      </c>
      <c r="J15" s="31">
        <v>35</v>
      </c>
      <c r="K15" s="29">
        <v>47</v>
      </c>
      <c r="L15" s="29">
        <v>47</v>
      </c>
      <c r="M15" s="29">
        <v>47</v>
      </c>
      <c r="N15" s="29">
        <v>24</v>
      </c>
      <c r="O15" s="29">
        <v>0</v>
      </c>
      <c r="P15" s="32">
        <v>0</v>
      </c>
    </row>
    <row r="16" spans="2:22" ht="15.75" x14ac:dyDescent="0.25">
      <c r="B16" s="15" t="s">
        <v>10</v>
      </c>
      <c r="C16" s="16" t="s">
        <v>23</v>
      </c>
      <c r="D16" s="17" t="s">
        <v>197</v>
      </c>
      <c r="E16" s="17" t="s">
        <v>208</v>
      </c>
      <c r="F16" s="17">
        <v>17.2</v>
      </c>
      <c r="G16" s="17">
        <v>34.700000000000003</v>
      </c>
      <c r="H16" s="17">
        <v>41.9</v>
      </c>
      <c r="I16" s="18"/>
      <c r="J16" s="19"/>
      <c r="K16" s="17"/>
      <c r="L16" s="17"/>
      <c r="M16" s="17"/>
      <c r="N16" s="17"/>
      <c r="O16" s="17"/>
      <c r="P16" s="20"/>
    </row>
    <row r="17" spans="2:18" ht="15.75" x14ac:dyDescent="0.25">
      <c r="B17" s="21" t="s">
        <v>9</v>
      </c>
      <c r="C17" s="22" t="s">
        <v>23</v>
      </c>
      <c r="D17" s="23" t="s">
        <v>218</v>
      </c>
      <c r="E17" s="23" t="s">
        <v>208</v>
      </c>
      <c r="F17" s="23"/>
      <c r="G17" s="23"/>
      <c r="H17" s="23"/>
      <c r="I17" s="24">
        <v>69.2</v>
      </c>
      <c r="J17" s="25">
        <v>77</v>
      </c>
      <c r="K17" s="23">
        <v>75</v>
      </c>
      <c r="L17" s="23">
        <v>73</v>
      </c>
      <c r="M17" s="23">
        <v>72</v>
      </c>
      <c r="N17" s="23">
        <v>70</v>
      </c>
      <c r="O17" s="23">
        <v>70</v>
      </c>
      <c r="P17" s="26">
        <v>70</v>
      </c>
    </row>
    <row r="18" spans="2:18" ht="15.75" x14ac:dyDescent="0.25">
      <c r="B18" s="27" t="s">
        <v>11</v>
      </c>
      <c r="C18" s="28" t="s">
        <v>190</v>
      </c>
      <c r="D18" s="29" t="s">
        <v>198</v>
      </c>
      <c r="E18" s="29" t="s">
        <v>208</v>
      </c>
      <c r="F18" s="42">
        <v>32</v>
      </c>
      <c r="G18" s="42">
        <v>36</v>
      </c>
      <c r="H18" s="29">
        <v>38</v>
      </c>
      <c r="I18" s="30">
        <v>39.9</v>
      </c>
      <c r="J18" s="31">
        <v>40</v>
      </c>
      <c r="K18" s="29">
        <v>40</v>
      </c>
      <c r="L18" s="29">
        <v>40</v>
      </c>
      <c r="M18" s="29">
        <v>40</v>
      </c>
      <c r="N18" s="29">
        <v>30</v>
      </c>
      <c r="O18" s="29">
        <v>0</v>
      </c>
      <c r="P18" s="32">
        <v>0</v>
      </c>
    </row>
    <row r="19" spans="2:18" ht="15.75" x14ac:dyDescent="0.25">
      <c r="B19" s="33" t="s">
        <v>12</v>
      </c>
      <c r="C19" s="34" t="s">
        <v>190</v>
      </c>
      <c r="D19" s="35" t="s">
        <v>200</v>
      </c>
      <c r="E19" s="35" t="s">
        <v>208</v>
      </c>
      <c r="F19" s="43">
        <v>32</v>
      </c>
      <c r="G19" s="43">
        <v>27</v>
      </c>
      <c r="H19" s="35">
        <v>27</v>
      </c>
      <c r="I19" s="39">
        <v>9</v>
      </c>
      <c r="J19" s="40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8">
        <v>0</v>
      </c>
    </row>
    <row r="20" spans="2:18" ht="16.5" thickBot="1" x14ac:dyDescent="0.3">
      <c r="B20" s="27" t="s">
        <v>13</v>
      </c>
      <c r="C20" s="28" t="s">
        <v>191</v>
      </c>
      <c r="D20" s="29" t="s">
        <v>209</v>
      </c>
      <c r="E20" s="29" t="s">
        <v>208</v>
      </c>
      <c r="F20" s="29">
        <v>24.4</v>
      </c>
      <c r="G20" s="29">
        <v>37</v>
      </c>
      <c r="H20" s="29">
        <v>23</v>
      </c>
      <c r="I20" s="30">
        <v>4.0999999999999996</v>
      </c>
      <c r="J20" s="31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32">
        <v>0</v>
      </c>
    </row>
    <row r="21" spans="2:18" ht="15.75" x14ac:dyDescent="0.25">
      <c r="B21" s="50" t="s">
        <v>15</v>
      </c>
      <c r="C21" s="44"/>
      <c r="D21" s="44"/>
      <c r="E21" s="44"/>
      <c r="F21" s="47">
        <f>SUM(F8:F20)</f>
        <v>622.6</v>
      </c>
      <c r="G21" s="47">
        <f t="shared" ref="G21:P21" si="1">SUM(G8:G20)</f>
        <v>412.8</v>
      </c>
      <c r="H21" s="47">
        <f t="shared" si="1"/>
        <v>332.5</v>
      </c>
      <c r="I21" s="48">
        <f t="shared" si="1"/>
        <v>295.59999999999997</v>
      </c>
      <c r="J21" s="49">
        <f>SUM(J8:J20)</f>
        <v>316.10000000000002</v>
      </c>
      <c r="K21" s="47">
        <f t="shared" si="1"/>
        <v>332</v>
      </c>
      <c r="L21" s="47">
        <f t="shared" si="1"/>
        <v>320</v>
      </c>
      <c r="M21" s="47">
        <f t="shared" si="1"/>
        <v>319</v>
      </c>
      <c r="N21" s="47">
        <f t="shared" si="1"/>
        <v>264</v>
      </c>
      <c r="O21" s="47">
        <f t="shared" si="1"/>
        <v>160</v>
      </c>
      <c r="P21" s="48">
        <f t="shared" si="1"/>
        <v>105</v>
      </c>
    </row>
    <row r="22" spans="2:18" ht="15.75" x14ac:dyDescent="0.25">
      <c r="B22" s="27"/>
      <c r="C22" s="28"/>
      <c r="D22" s="28"/>
      <c r="E22" s="28"/>
      <c r="F22" s="28"/>
      <c r="G22" s="28"/>
      <c r="H22" s="28"/>
      <c r="I22" s="45"/>
      <c r="J22" s="46"/>
      <c r="K22" s="28"/>
      <c r="L22" s="28"/>
      <c r="M22" s="28"/>
      <c r="N22" s="28"/>
      <c r="O22" s="28"/>
      <c r="P22" s="45"/>
    </row>
    <row r="25" spans="2:18" ht="18.75" x14ac:dyDescent="0.3">
      <c r="B25" s="266" t="s">
        <v>210</v>
      </c>
    </row>
    <row r="27" spans="2:18" ht="18.75" x14ac:dyDescent="0.3">
      <c r="B27" s="5" t="s">
        <v>0</v>
      </c>
      <c r="C27" s="6" t="s">
        <v>1</v>
      </c>
      <c r="D27" s="6" t="s">
        <v>2</v>
      </c>
      <c r="E27" s="6" t="s">
        <v>206</v>
      </c>
      <c r="F27" s="6">
        <v>2012</v>
      </c>
      <c r="G27" s="6">
        <f>+F27+1</f>
        <v>2013</v>
      </c>
      <c r="H27" s="6">
        <f t="shared" ref="H27" si="2">+G27+1</f>
        <v>2014</v>
      </c>
      <c r="I27" s="7">
        <f t="shared" ref="I27" si="3">+H27+1</f>
        <v>2015</v>
      </c>
      <c r="J27" s="8">
        <f t="shared" ref="J27" si="4">+I27+1</f>
        <v>2016</v>
      </c>
      <c r="K27" s="6">
        <f t="shared" ref="K27" si="5">+J27+1</f>
        <v>2017</v>
      </c>
      <c r="L27" s="6">
        <f t="shared" ref="L27" si="6">+K27+1</f>
        <v>2018</v>
      </c>
      <c r="M27" s="6">
        <f t="shared" ref="M27" si="7">+L27+1</f>
        <v>2019</v>
      </c>
      <c r="N27" s="6">
        <f t="shared" ref="N27" si="8">+M27+1</f>
        <v>2020</v>
      </c>
      <c r="O27" s="6">
        <f t="shared" ref="O27" si="9">+N27+1</f>
        <v>2021</v>
      </c>
      <c r="P27" s="5">
        <f t="shared" ref="P27" si="10">+O27+1</f>
        <v>2022</v>
      </c>
      <c r="R27" s="280" t="s">
        <v>214</v>
      </c>
    </row>
    <row r="28" spans="2:18" x14ac:dyDescent="0.25">
      <c r="C28" s="2"/>
      <c r="D28" s="2"/>
      <c r="E28" s="276" t="s">
        <v>207</v>
      </c>
      <c r="F28" s="2"/>
      <c r="G28" s="2"/>
      <c r="H28" s="2"/>
      <c r="I28" s="3"/>
      <c r="J28" s="4"/>
      <c r="K28" s="2"/>
      <c r="L28" s="2"/>
      <c r="M28" s="2"/>
      <c r="N28" s="2"/>
      <c r="O28" s="2"/>
    </row>
    <row r="29" spans="2:18" ht="15.75" x14ac:dyDescent="0.25">
      <c r="B29" s="9" t="s">
        <v>3</v>
      </c>
      <c r="C29" s="10" t="s">
        <v>82</v>
      </c>
      <c r="D29" s="11" t="s">
        <v>197</v>
      </c>
      <c r="E29" s="11" t="s">
        <v>208</v>
      </c>
      <c r="F29" s="11">
        <v>185.7</v>
      </c>
      <c r="G29" s="11">
        <v>52</v>
      </c>
      <c r="H29" s="11">
        <v>0</v>
      </c>
      <c r="I29" s="12">
        <v>0</v>
      </c>
      <c r="J29" s="13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4">
        <v>0</v>
      </c>
    </row>
    <row r="30" spans="2:18" ht="15.75" x14ac:dyDescent="0.25">
      <c r="B30" s="15" t="s">
        <v>4</v>
      </c>
      <c r="C30" s="16" t="s">
        <v>82</v>
      </c>
      <c r="D30" s="17" t="s">
        <v>197</v>
      </c>
      <c r="E30" s="17" t="s">
        <v>208</v>
      </c>
      <c r="F30" s="17">
        <v>125.2</v>
      </c>
      <c r="G30" s="17">
        <v>74.5</v>
      </c>
      <c r="H30" s="17">
        <v>74.8</v>
      </c>
      <c r="I30" s="18">
        <v>52</v>
      </c>
      <c r="J30" s="19"/>
      <c r="K30" s="17"/>
      <c r="L30" s="17"/>
      <c r="M30" s="17"/>
      <c r="N30" s="17"/>
      <c r="O30" s="17"/>
      <c r="P30" s="20"/>
    </row>
    <row r="31" spans="2:18" ht="15.75" x14ac:dyDescent="0.25">
      <c r="B31" s="21" t="s">
        <v>5</v>
      </c>
      <c r="C31" s="22" t="s">
        <v>82</v>
      </c>
      <c r="D31" s="23" t="s">
        <v>201</v>
      </c>
      <c r="E31" s="23" t="s">
        <v>208</v>
      </c>
      <c r="F31" s="23"/>
      <c r="G31" s="23"/>
      <c r="H31" s="23"/>
      <c r="I31" s="24"/>
      <c r="J31" s="267">
        <v>51.6</v>
      </c>
      <c r="K31" s="23">
        <v>60</v>
      </c>
      <c r="L31" s="23">
        <v>50</v>
      </c>
      <c r="M31" s="23">
        <v>50</v>
      </c>
      <c r="N31" s="23">
        <v>40</v>
      </c>
      <c r="O31" s="23">
        <v>0</v>
      </c>
      <c r="P31" s="26">
        <v>0</v>
      </c>
      <c r="R31" t="s">
        <v>227</v>
      </c>
    </row>
    <row r="32" spans="2:18" ht="15.75" x14ac:dyDescent="0.25">
      <c r="B32" s="27" t="s">
        <v>6</v>
      </c>
      <c r="C32" s="28" t="s">
        <v>82</v>
      </c>
      <c r="D32" s="29" t="s">
        <v>201</v>
      </c>
      <c r="E32" s="29" t="s">
        <v>208</v>
      </c>
      <c r="F32" s="29">
        <v>78.099999999999994</v>
      </c>
      <c r="G32" s="29">
        <v>67.8</v>
      </c>
      <c r="H32" s="29">
        <v>61</v>
      </c>
      <c r="I32" s="30">
        <v>63.2</v>
      </c>
      <c r="J32" s="268">
        <v>78.5</v>
      </c>
      <c r="K32" s="29">
        <v>65</v>
      </c>
      <c r="L32" s="29">
        <v>65</v>
      </c>
      <c r="M32" s="29">
        <v>65</v>
      </c>
      <c r="N32" s="29">
        <v>55</v>
      </c>
      <c r="O32" s="29">
        <v>45</v>
      </c>
      <c r="P32" s="32">
        <v>10</v>
      </c>
      <c r="R32" t="s">
        <v>223</v>
      </c>
    </row>
    <row r="33" spans="2:18" ht="15.75" x14ac:dyDescent="0.25">
      <c r="B33" s="33" t="s">
        <v>14</v>
      </c>
      <c r="C33" s="34" t="s">
        <v>188</v>
      </c>
      <c r="D33" s="35" t="s">
        <v>199</v>
      </c>
      <c r="E33" s="35" t="s">
        <v>208</v>
      </c>
      <c r="F33" s="35">
        <v>0</v>
      </c>
      <c r="G33" s="35">
        <v>0</v>
      </c>
      <c r="H33" s="35">
        <v>0</v>
      </c>
      <c r="I33" s="36">
        <v>13</v>
      </c>
      <c r="J33" s="269">
        <v>37.1</v>
      </c>
      <c r="K33" s="277">
        <v>49</v>
      </c>
      <c r="L33" s="285">
        <v>43</v>
      </c>
      <c r="M33" s="285">
        <v>43</v>
      </c>
      <c r="N33" s="285">
        <v>43</v>
      </c>
      <c r="O33" s="285">
        <v>43</v>
      </c>
      <c r="P33" s="286">
        <v>43</v>
      </c>
      <c r="R33" t="s">
        <v>228</v>
      </c>
    </row>
    <row r="34" spans="2:18" ht="15.75" x14ac:dyDescent="0.25">
      <c r="B34" s="33" t="s">
        <v>7</v>
      </c>
      <c r="C34" s="34" t="s">
        <v>25</v>
      </c>
      <c r="D34" s="35" t="s">
        <v>197</v>
      </c>
      <c r="E34" s="35" t="s">
        <v>208</v>
      </c>
      <c r="F34" s="35">
        <v>18.899999999999999</v>
      </c>
      <c r="G34" s="35">
        <v>12.2</v>
      </c>
      <c r="H34" s="35">
        <v>15.6</v>
      </c>
      <c r="I34" s="39">
        <v>8</v>
      </c>
      <c r="J34" s="40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8">
        <v>0</v>
      </c>
    </row>
    <row r="35" spans="2:18" ht="15.75" x14ac:dyDescent="0.25">
      <c r="B35" s="33" t="s">
        <v>8</v>
      </c>
      <c r="C35" s="34" t="s">
        <v>189</v>
      </c>
      <c r="D35" s="35" t="s">
        <v>199</v>
      </c>
      <c r="E35" s="35" t="s">
        <v>208</v>
      </c>
      <c r="F35" s="35">
        <v>45.4</v>
      </c>
      <c r="G35" s="35">
        <v>19.8</v>
      </c>
      <c r="H35" s="35">
        <v>10.5</v>
      </c>
      <c r="I35" s="39">
        <v>3.5</v>
      </c>
      <c r="J35" s="269">
        <v>4.8</v>
      </c>
      <c r="K35" s="277">
        <v>7.3</v>
      </c>
      <c r="L35" s="35">
        <v>5</v>
      </c>
      <c r="M35" s="35">
        <v>5</v>
      </c>
      <c r="N35" s="35">
        <v>5</v>
      </c>
      <c r="O35" s="35">
        <v>5</v>
      </c>
      <c r="P35" s="38">
        <v>5</v>
      </c>
    </row>
    <row r="36" spans="2:18" ht="15.75" x14ac:dyDescent="0.25">
      <c r="B36" s="41">
        <v>777</v>
      </c>
      <c r="C36" s="28" t="s">
        <v>23</v>
      </c>
      <c r="D36" s="29" t="s">
        <v>198</v>
      </c>
      <c r="E36" s="29" t="s">
        <v>208</v>
      </c>
      <c r="F36" s="29">
        <v>63.7</v>
      </c>
      <c r="G36" s="29">
        <v>51.8</v>
      </c>
      <c r="H36" s="29">
        <v>40.700000000000003</v>
      </c>
      <c r="I36" s="30">
        <v>33.700000000000003</v>
      </c>
      <c r="J36" s="268">
        <v>39.5</v>
      </c>
      <c r="K36" s="278">
        <v>55</v>
      </c>
      <c r="L36" s="29">
        <v>47</v>
      </c>
      <c r="M36" s="29">
        <v>47</v>
      </c>
      <c r="N36" s="29">
        <v>24</v>
      </c>
      <c r="O36" s="29">
        <v>0</v>
      </c>
      <c r="P36" s="32">
        <v>0</v>
      </c>
      <c r="R36" t="s">
        <v>224</v>
      </c>
    </row>
    <row r="37" spans="2:18" ht="15.75" x14ac:dyDescent="0.25">
      <c r="B37" s="15" t="s">
        <v>10</v>
      </c>
      <c r="C37" s="16" t="s">
        <v>23</v>
      </c>
      <c r="D37" s="17" t="s">
        <v>197</v>
      </c>
      <c r="E37" s="17" t="s">
        <v>208</v>
      </c>
      <c r="F37" s="17">
        <v>17.2</v>
      </c>
      <c r="G37" s="17">
        <v>34.700000000000003</v>
      </c>
      <c r="H37" s="17">
        <v>41.9</v>
      </c>
      <c r="I37" s="18"/>
      <c r="J37" s="19"/>
      <c r="K37" s="264"/>
      <c r="L37" s="17"/>
      <c r="M37" s="17"/>
      <c r="N37" s="17"/>
      <c r="O37" s="17"/>
      <c r="P37" s="20"/>
    </row>
    <row r="38" spans="2:18" ht="15.75" x14ac:dyDescent="0.25">
      <c r="B38" s="21" t="s">
        <v>9</v>
      </c>
      <c r="C38" s="22" t="s">
        <v>23</v>
      </c>
      <c r="D38" s="23" t="s">
        <v>199</v>
      </c>
      <c r="E38" s="23" t="s">
        <v>208</v>
      </c>
      <c r="F38" s="23"/>
      <c r="G38" s="23"/>
      <c r="H38" s="23"/>
      <c r="I38" s="24">
        <v>69.2</v>
      </c>
      <c r="J38" s="267">
        <v>71.099999999999994</v>
      </c>
      <c r="K38" s="279">
        <v>80</v>
      </c>
      <c r="L38" s="23">
        <v>73</v>
      </c>
      <c r="M38" s="23">
        <v>72</v>
      </c>
      <c r="N38" s="23">
        <v>70</v>
      </c>
      <c r="O38" s="23">
        <v>70</v>
      </c>
      <c r="P38" s="26">
        <v>70</v>
      </c>
      <c r="R38" t="s">
        <v>225</v>
      </c>
    </row>
    <row r="39" spans="2:18" ht="15.75" x14ac:dyDescent="0.25">
      <c r="B39" s="340" t="s">
        <v>216</v>
      </c>
      <c r="C39" s="28" t="s">
        <v>217</v>
      </c>
      <c r="D39" s="29" t="s">
        <v>218</v>
      </c>
      <c r="E39" s="29" t="s">
        <v>208</v>
      </c>
      <c r="F39" s="29">
        <v>0</v>
      </c>
      <c r="G39" s="29">
        <v>0</v>
      </c>
      <c r="H39" s="29">
        <v>0</v>
      </c>
      <c r="I39" s="30">
        <v>0</v>
      </c>
      <c r="J39" s="282">
        <v>0</v>
      </c>
      <c r="K39" s="283">
        <v>10</v>
      </c>
      <c r="L39" s="281">
        <v>15</v>
      </c>
      <c r="M39" s="281">
        <v>15</v>
      </c>
      <c r="N39" s="281">
        <v>15</v>
      </c>
      <c r="O39" s="281">
        <v>15</v>
      </c>
      <c r="P39" s="284">
        <v>15</v>
      </c>
      <c r="R39" t="s">
        <v>219</v>
      </c>
    </row>
    <row r="40" spans="2:18" ht="15.75" x14ac:dyDescent="0.25">
      <c r="B40" s="33" t="s">
        <v>11</v>
      </c>
      <c r="C40" s="34" t="s">
        <v>190</v>
      </c>
      <c r="D40" s="35" t="s">
        <v>198</v>
      </c>
      <c r="E40" s="35" t="s">
        <v>208</v>
      </c>
      <c r="F40" s="43">
        <v>32</v>
      </c>
      <c r="G40" s="43">
        <v>36</v>
      </c>
      <c r="H40" s="35">
        <v>38</v>
      </c>
      <c r="I40" s="39">
        <v>39.9</v>
      </c>
      <c r="J40" s="269">
        <v>34</v>
      </c>
      <c r="K40" s="35">
        <v>40</v>
      </c>
      <c r="L40" s="35">
        <v>40</v>
      </c>
      <c r="M40" s="35">
        <v>40</v>
      </c>
      <c r="N40" s="285">
        <v>36</v>
      </c>
      <c r="O40" s="35">
        <v>0</v>
      </c>
      <c r="P40" s="38">
        <v>0</v>
      </c>
      <c r="R40" t="s">
        <v>215</v>
      </c>
    </row>
    <row r="41" spans="2:18" ht="15.75" x14ac:dyDescent="0.25">
      <c r="B41" s="33" t="s">
        <v>12</v>
      </c>
      <c r="C41" s="34" t="s">
        <v>190</v>
      </c>
      <c r="D41" s="35" t="s">
        <v>200</v>
      </c>
      <c r="E41" s="35" t="s">
        <v>208</v>
      </c>
      <c r="F41" s="43">
        <v>32</v>
      </c>
      <c r="G41" s="43">
        <v>27</v>
      </c>
      <c r="H41" s="35">
        <v>27</v>
      </c>
      <c r="I41" s="39">
        <v>9</v>
      </c>
      <c r="J41" s="40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8">
        <v>0</v>
      </c>
      <c r="R41" t="s">
        <v>226</v>
      </c>
    </row>
    <row r="42" spans="2:18" ht="16.5" thickBot="1" x14ac:dyDescent="0.3">
      <c r="B42" s="27" t="s">
        <v>13</v>
      </c>
      <c r="C42" s="28" t="s">
        <v>191</v>
      </c>
      <c r="D42" s="29" t="s">
        <v>209</v>
      </c>
      <c r="E42" s="29" t="s">
        <v>208</v>
      </c>
      <c r="F42" s="29">
        <v>24.4</v>
      </c>
      <c r="G42" s="29">
        <v>37</v>
      </c>
      <c r="H42" s="29">
        <v>23</v>
      </c>
      <c r="I42" s="30">
        <v>4.0999999999999996</v>
      </c>
      <c r="J42" s="31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32">
        <v>0</v>
      </c>
      <c r="R42" t="s">
        <v>250</v>
      </c>
    </row>
    <row r="43" spans="2:18" ht="15.75" x14ac:dyDescent="0.25">
      <c r="B43" s="50" t="s">
        <v>15</v>
      </c>
      <c r="C43" s="44"/>
      <c r="D43" s="44"/>
      <c r="E43" s="44"/>
      <c r="F43" s="47">
        <f>SUM(F29:F42)</f>
        <v>622.6</v>
      </c>
      <c r="G43" s="47">
        <f t="shared" ref="G43:I43" si="11">SUM(G29:G42)</f>
        <v>412.8</v>
      </c>
      <c r="H43" s="47">
        <f t="shared" si="11"/>
        <v>332.5</v>
      </c>
      <c r="I43" s="48">
        <f t="shared" si="11"/>
        <v>295.59999999999997</v>
      </c>
      <c r="J43" s="49">
        <f>SUM(J29:J42)</f>
        <v>316.60000000000002</v>
      </c>
      <c r="K43" s="47">
        <f t="shared" ref="K43:P43" si="12">SUM(K29:K42)</f>
        <v>366.3</v>
      </c>
      <c r="L43" s="47">
        <f t="shared" si="12"/>
        <v>338</v>
      </c>
      <c r="M43" s="47">
        <f t="shared" si="12"/>
        <v>337</v>
      </c>
      <c r="N43" s="47">
        <f t="shared" si="12"/>
        <v>288</v>
      </c>
      <c r="O43" s="47">
        <f t="shared" si="12"/>
        <v>178</v>
      </c>
      <c r="P43" s="48">
        <f t="shared" si="12"/>
        <v>143</v>
      </c>
    </row>
    <row r="44" spans="2:18" ht="15.75" x14ac:dyDescent="0.25">
      <c r="B44" s="27"/>
      <c r="C44" s="28"/>
      <c r="D44" s="28"/>
      <c r="E44" s="28"/>
      <c r="F44" s="28"/>
      <c r="G44" s="28"/>
      <c r="H44" s="28"/>
      <c r="I44" s="45"/>
      <c r="J44" s="46"/>
      <c r="K44" s="28"/>
      <c r="L44" s="28"/>
      <c r="M44" s="28"/>
      <c r="N44" s="28"/>
      <c r="O44" s="28"/>
      <c r="P44" s="45"/>
    </row>
    <row r="46" spans="2:18" ht="18.75" x14ac:dyDescent="0.3">
      <c r="B46" s="280" t="s">
        <v>211</v>
      </c>
      <c r="R46" t="s">
        <v>229</v>
      </c>
    </row>
    <row r="47" spans="2:18" x14ac:dyDescent="0.25">
      <c r="R47" t="s">
        <v>230</v>
      </c>
    </row>
    <row r="48" spans="2:18" ht="15.75" x14ac:dyDescent="0.25">
      <c r="B48" t="s">
        <v>212</v>
      </c>
      <c r="C48" s="296">
        <v>51.6</v>
      </c>
      <c r="E48" s="11" t="s">
        <v>209</v>
      </c>
      <c r="F48" t="s">
        <v>249</v>
      </c>
    </row>
    <row r="49" spans="2:18" ht="15.75" x14ac:dyDescent="0.25">
      <c r="B49" t="s">
        <v>213</v>
      </c>
      <c r="C49" s="297">
        <v>49</v>
      </c>
      <c r="E49" s="11" t="s">
        <v>201</v>
      </c>
      <c r="F49" t="s">
        <v>292</v>
      </c>
      <c r="R49" t="s">
        <v>220</v>
      </c>
    </row>
    <row r="50" spans="2:18" ht="15.75" x14ac:dyDescent="0.25">
      <c r="B50" t="s">
        <v>302</v>
      </c>
      <c r="C50" s="298">
        <v>36</v>
      </c>
      <c r="R50" t="s">
        <v>221</v>
      </c>
    </row>
    <row r="51" spans="2:18" x14ac:dyDescent="0.25">
      <c r="R51" t="s">
        <v>222</v>
      </c>
    </row>
    <row r="52" spans="2:18" ht="15.75" x14ac:dyDescent="0.25">
      <c r="E52" s="6" t="s">
        <v>206</v>
      </c>
      <c r="F52" s="6">
        <v>2012</v>
      </c>
      <c r="G52" s="6">
        <f>+F52+1</f>
        <v>2013</v>
      </c>
      <c r="H52" s="6">
        <f t="shared" ref="H52" si="13">+G52+1</f>
        <v>2014</v>
      </c>
      <c r="I52" s="7">
        <f t="shared" ref="I52" si="14">+H52+1</f>
        <v>2015</v>
      </c>
      <c r="J52" s="8">
        <f t="shared" ref="J52" si="15">+I52+1</f>
        <v>2016</v>
      </c>
      <c r="K52" s="6">
        <f t="shared" ref="K52" si="16">+J52+1</f>
        <v>2017</v>
      </c>
      <c r="L52" s="6">
        <f t="shared" ref="L52" si="17">+K52+1</f>
        <v>2018</v>
      </c>
      <c r="M52" s="6">
        <f t="shared" ref="M52" si="18">+L52+1</f>
        <v>2019</v>
      </c>
      <c r="N52" s="6">
        <f t="shared" ref="N52" si="19">+M52+1</f>
        <v>2020</v>
      </c>
      <c r="O52" s="6">
        <f t="shared" ref="O52" si="20">+N52+1</f>
        <v>2021</v>
      </c>
      <c r="P52" s="6">
        <f t="shared" ref="P52" si="21">+O52+1</f>
        <v>2022</v>
      </c>
    </row>
    <row r="53" spans="2:18" x14ac:dyDescent="0.25">
      <c r="E53" s="276" t="s">
        <v>207</v>
      </c>
      <c r="F53" s="2"/>
      <c r="G53" s="2"/>
      <c r="H53" s="2"/>
      <c r="I53" s="3"/>
      <c r="J53" s="4"/>
      <c r="K53" s="2"/>
      <c r="L53" s="2"/>
      <c r="M53" s="2"/>
      <c r="N53" s="2"/>
      <c r="O53" s="2"/>
      <c r="P53" s="338"/>
    </row>
    <row r="54" spans="2:18" ht="15.75" x14ac:dyDescent="0.25">
      <c r="E54" s="11" t="s">
        <v>208</v>
      </c>
      <c r="F54" s="293">
        <f>+F43</f>
        <v>622.6</v>
      </c>
      <c r="G54" s="293">
        <f t="shared" ref="G54:P54" si="22">+G43</f>
        <v>412.8</v>
      </c>
      <c r="H54" s="293">
        <f t="shared" si="22"/>
        <v>332.5</v>
      </c>
      <c r="I54" s="294">
        <f t="shared" si="22"/>
        <v>295.59999999999997</v>
      </c>
      <c r="J54" s="295">
        <f t="shared" si="22"/>
        <v>316.60000000000002</v>
      </c>
      <c r="K54" s="293">
        <f t="shared" si="22"/>
        <v>366.3</v>
      </c>
      <c r="L54" s="293">
        <f t="shared" si="22"/>
        <v>338</v>
      </c>
      <c r="M54" s="293">
        <f t="shared" si="22"/>
        <v>337</v>
      </c>
      <c r="N54" s="293">
        <f t="shared" si="22"/>
        <v>288</v>
      </c>
      <c r="O54" s="293">
        <f t="shared" si="22"/>
        <v>178</v>
      </c>
      <c r="P54" s="293">
        <f t="shared" si="22"/>
        <v>143</v>
      </c>
    </row>
    <row r="55" spans="2:18" ht="15.75" x14ac:dyDescent="0.25">
      <c r="E55" s="11" t="s">
        <v>19</v>
      </c>
      <c r="F55" s="293">
        <v>0</v>
      </c>
      <c r="G55" s="293">
        <v>0</v>
      </c>
      <c r="H55" s="293">
        <v>0</v>
      </c>
      <c r="I55" s="294">
        <v>0</v>
      </c>
      <c r="J55" s="295">
        <v>0</v>
      </c>
      <c r="K55" s="293">
        <v>0</v>
      </c>
      <c r="L55" s="293">
        <v>0</v>
      </c>
      <c r="M55" s="293">
        <v>0</v>
      </c>
      <c r="N55" s="293">
        <v>0</v>
      </c>
      <c r="O55" s="293">
        <v>0</v>
      </c>
      <c r="P55" s="293"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5"/>
  <sheetViews>
    <sheetView workbookViewId="0"/>
  </sheetViews>
  <sheetFormatPr defaultRowHeight="15" x14ac:dyDescent="0.25"/>
  <cols>
    <col min="2" max="2" width="27" customWidth="1"/>
    <col min="3" max="3" width="15.5703125" customWidth="1"/>
    <col min="4" max="4" width="15.28515625" style="166" customWidth="1"/>
    <col min="5" max="5" width="11.140625" style="166" customWidth="1"/>
    <col min="18" max="18" width="95.5703125" customWidth="1"/>
  </cols>
  <sheetData>
    <row r="1" spans="2:18" ht="18.75" x14ac:dyDescent="0.3">
      <c r="B1" s="266" t="s">
        <v>551</v>
      </c>
      <c r="H1" s="266" t="s">
        <v>562</v>
      </c>
    </row>
    <row r="4" spans="2:18" ht="18.75" x14ac:dyDescent="0.3">
      <c r="B4" s="266" t="s">
        <v>248</v>
      </c>
    </row>
    <row r="6" spans="2:18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7">
        <f t="shared" si="0"/>
        <v>2015</v>
      </c>
      <c r="J6" s="8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2:18" x14ac:dyDescent="0.25">
      <c r="C7" s="2"/>
      <c r="D7" s="291"/>
      <c r="E7" s="276" t="s">
        <v>207</v>
      </c>
      <c r="F7" s="2"/>
      <c r="G7" s="2"/>
      <c r="H7" s="2"/>
      <c r="I7" s="3"/>
      <c r="J7" s="4"/>
      <c r="K7" s="2"/>
      <c r="L7" s="2"/>
      <c r="M7" s="2"/>
      <c r="N7" s="2"/>
      <c r="O7" s="2"/>
    </row>
    <row r="8" spans="2:18" ht="15.75" x14ac:dyDescent="0.25">
      <c r="B8" s="52" t="s">
        <v>16</v>
      </c>
      <c r="C8" s="55" t="s">
        <v>17</v>
      </c>
      <c r="D8" s="56" t="s">
        <v>200</v>
      </c>
      <c r="E8" s="56" t="s">
        <v>208</v>
      </c>
      <c r="F8" s="56">
        <v>48</v>
      </c>
      <c r="G8" s="56">
        <v>50</v>
      </c>
      <c r="H8" s="56">
        <v>47</v>
      </c>
      <c r="I8" s="54">
        <v>47</v>
      </c>
      <c r="J8" s="57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3">
        <v>0</v>
      </c>
    </row>
    <row r="9" spans="2:18" ht="15.75" x14ac:dyDescent="0.25">
      <c r="B9" s="33" t="s">
        <v>18</v>
      </c>
      <c r="C9" s="34" t="s">
        <v>17</v>
      </c>
      <c r="D9" s="35" t="s">
        <v>199</v>
      </c>
      <c r="E9" s="35" t="s">
        <v>208</v>
      </c>
      <c r="F9" s="35">
        <v>61</v>
      </c>
      <c r="G9" s="35">
        <v>71</v>
      </c>
      <c r="H9" s="35">
        <v>63</v>
      </c>
      <c r="I9" s="39">
        <v>64</v>
      </c>
      <c r="J9" s="40">
        <v>64</v>
      </c>
      <c r="K9" s="35">
        <v>64</v>
      </c>
      <c r="L9" s="35">
        <v>64</v>
      </c>
      <c r="M9" s="35">
        <v>64</v>
      </c>
      <c r="N9" s="35">
        <v>64</v>
      </c>
      <c r="O9" s="35">
        <v>64</v>
      </c>
      <c r="P9" s="38">
        <v>64</v>
      </c>
    </row>
    <row r="10" spans="2:18" ht="15.75" x14ac:dyDescent="0.25">
      <c r="B10" s="33" t="s">
        <v>20</v>
      </c>
      <c r="C10" s="34" t="s">
        <v>21</v>
      </c>
      <c r="D10" s="35" t="s">
        <v>199</v>
      </c>
      <c r="E10" s="35" t="s">
        <v>208</v>
      </c>
      <c r="F10" s="35">
        <v>42</v>
      </c>
      <c r="G10" s="35">
        <v>55</v>
      </c>
      <c r="H10" s="35">
        <v>45</v>
      </c>
      <c r="I10" s="39">
        <v>45</v>
      </c>
      <c r="J10" s="40">
        <v>45</v>
      </c>
      <c r="K10" s="35">
        <v>45</v>
      </c>
      <c r="L10" s="35">
        <v>45</v>
      </c>
      <c r="M10" s="35">
        <v>45</v>
      </c>
      <c r="N10" s="35">
        <v>45</v>
      </c>
      <c r="O10" s="35">
        <v>45</v>
      </c>
      <c r="P10" s="38">
        <v>45</v>
      </c>
      <c r="R10" t="s">
        <v>96</v>
      </c>
    </row>
    <row r="11" spans="2:18" ht="15.75" x14ac:dyDescent="0.25">
      <c r="B11" s="27" t="s">
        <v>22</v>
      </c>
      <c r="C11" s="28" t="s">
        <v>234</v>
      </c>
      <c r="D11" s="29" t="s">
        <v>209</v>
      </c>
      <c r="E11" s="29" t="s">
        <v>208</v>
      </c>
      <c r="F11" s="29">
        <v>0</v>
      </c>
      <c r="G11" s="29">
        <v>0</v>
      </c>
      <c r="H11" s="29">
        <v>0</v>
      </c>
      <c r="I11" s="30">
        <v>0</v>
      </c>
      <c r="J11" s="31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32">
        <v>0</v>
      </c>
    </row>
    <row r="12" spans="2:18" ht="15.75" x14ac:dyDescent="0.25">
      <c r="B12" s="33" t="s">
        <v>24</v>
      </c>
      <c r="C12" s="34" t="s">
        <v>25</v>
      </c>
      <c r="D12" s="35" t="s">
        <v>199</v>
      </c>
      <c r="E12" s="35" t="s">
        <v>19</v>
      </c>
      <c r="F12" s="35">
        <v>529</v>
      </c>
      <c r="G12" s="35">
        <v>551</v>
      </c>
      <c r="H12" s="35">
        <v>596</v>
      </c>
      <c r="I12" s="36">
        <v>567</v>
      </c>
      <c r="J12" s="37">
        <v>558</v>
      </c>
      <c r="K12" s="35">
        <v>540</v>
      </c>
      <c r="L12" s="35">
        <v>525</v>
      </c>
      <c r="M12" s="35">
        <v>510</v>
      </c>
      <c r="N12" s="35">
        <v>501</v>
      </c>
      <c r="O12" s="35">
        <v>491</v>
      </c>
      <c r="P12" s="38">
        <v>488</v>
      </c>
    </row>
    <row r="13" spans="2:18" ht="15.75" x14ac:dyDescent="0.25">
      <c r="B13" s="33" t="s">
        <v>26</v>
      </c>
      <c r="C13" s="34" t="s">
        <v>25</v>
      </c>
      <c r="D13" s="35" t="s">
        <v>201</v>
      </c>
      <c r="E13" s="35" t="s">
        <v>208</v>
      </c>
      <c r="F13" s="35">
        <v>0</v>
      </c>
      <c r="G13" s="35">
        <v>0</v>
      </c>
      <c r="H13" s="35">
        <v>0</v>
      </c>
      <c r="I13" s="39">
        <v>31</v>
      </c>
      <c r="J13" s="40">
        <v>40</v>
      </c>
      <c r="K13" s="35">
        <v>40</v>
      </c>
      <c r="L13" s="35">
        <v>40</v>
      </c>
      <c r="M13" s="35">
        <v>40</v>
      </c>
      <c r="N13" s="35">
        <v>40</v>
      </c>
      <c r="O13" s="35">
        <v>10</v>
      </c>
      <c r="P13" s="38">
        <v>0</v>
      </c>
    </row>
    <row r="14" spans="2:18" ht="15.75" x14ac:dyDescent="0.25">
      <c r="B14" s="33" t="s">
        <v>27</v>
      </c>
      <c r="C14" s="34" t="s">
        <v>28</v>
      </c>
      <c r="D14" s="35" t="s">
        <v>199</v>
      </c>
      <c r="E14" s="35" t="s">
        <v>208</v>
      </c>
      <c r="F14" s="35">
        <v>58</v>
      </c>
      <c r="G14" s="35">
        <v>43</v>
      </c>
      <c r="H14" s="35">
        <v>54</v>
      </c>
      <c r="I14" s="39">
        <v>56</v>
      </c>
      <c r="J14" s="40">
        <v>55</v>
      </c>
      <c r="K14" s="35">
        <v>55</v>
      </c>
      <c r="L14" s="35">
        <v>55</v>
      </c>
      <c r="M14" s="35">
        <v>55</v>
      </c>
      <c r="N14" s="35">
        <v>55</v>
      </c>
      <c r="O14" s="35">
        <v>55</v>
      </c>
      <c r="P14" s="38">
        <v>55</v>
      </c>
    </row>
    <row r="15" spans="2:18" ht="16.5" thickBot="1" x14ac:dyDescent="0.3">
      <c r="B15" s="41" t="s">
        <v>29</v>
      </c>
      <c r="C15" s="28" t="s">
        <v>28</v>
      </c>
      <c r="D15" s="29" t="s">
        <v>199</v>
      </c>
      <c r="E15" s="29" t="s">
        <v>208</v>
      </c>
      <c r="F15" s="29">
        <v>0</v>
      </c>
      <c r="G15" s="29">
        <v>4</v>
      </c>
      <c r="H15" s="29">
        <v>7</v>
      </c>
      <c r="I15" s="30">
        <v>7</v>
      </c>
      <c r="J15" s="31">
        <v>7</v>
      </c>
      <c r="K15" s="29">
        <v>7</v>
      </c>
      <c r="L15" s="29">
        <v>7</v>
      </c>
      <c r="M15" s="29">
        <v>7</v>
      </c>
      <c r="N15" s="29">
        <v>7</v>
      </c>
      <c r="O15" s="29">
        <v>7</v>
      </c>
      <c r="P15" s="32">
        <v>7</v>
      </c>
    </row>
    <row r="16" spans="2:18" ht="15.75" x14ac:dyDescent="0.25">
      <c r="B16" s="50" t="s">
        <v>15</v>
      </c>
      <c r="C16" s="44"/>
      <c r="D16" s="292"/>
      <c r="E16" s="292"/>
      <c r="F16" s="47">
        <f t="shared" ref="F16:P16" si="1">SUM(F8:F15)</f>
        <v>738</v>
      </c>
      <c r="G16" s="47">
        <f t="shared" si="1"/>
        <v>774</v>
      </c>
      <c r="H16" s="47">
        <f t="shared" si="1"/>
        <v>812</v>
      </c>
      <c r="I16" s="48">
        <f t="shared" si="1"/>
        <v>817</v>
      </c>
      <c r="J16" s="49">
        <f t="shared" si="1"/>
        <v>769</v>
      </c>
      <c r="K16" s="47">
        <f t="shared" si="1"/>
        <v>751</v>
      </c>
      <c r="L16" s="47">
        <f t="shared" si="1"/>
        <v>736</v>
      </c>
      <c r="M16" s="47">
        <f t="shared" si="1"/>
        <v>721</v>
      </c>
      <c r="N16" s="47">
        <f t="shared" si="1"/>
        <v>712</v>
      </c>
      <c r="O16" s="47">
        <f t="shared" si="1"/>
        <v>672</v>
      </c>
      <c r="P16" s="48">
        <f t="shared" si="1"/>
        <v>659</v>
      </c>
    </row>
    <row r="17" spans="2:18" ht="15.75" x14ac:dyDescent="0.25">
      <c r="B17" s="27"/>
      <c r="C17" s="28"/>
      <c r="D17" s="29"/>
      <c r="E17" s="29"/>
      <c r="F17" s="28"/>
      <c r="G17" s="28"/>
      <c r="H17" s="28"/>
      <c r="I17" s="45"/>
      <c r="J17" s="46"/>
      <c r="K17" s="28"/>
      <c r="L17" s="28"/>
      <c r="M17" s="28"/>
      <c r="N17" s="28"/>
      <c r="O17" s="28"/>
      <c r="P17" s="45"/>
    </row>
    <row r="21" spans="2:18" ht="18.75" x14ac:dyDescent="0.3">
      <c r="B21" s="266" t="s">
        <v>210</v>
      </c>
      <c r="R21" s="280" t="s">
        <v>214</v>
      </c>
    </row>
    <row r="23" spans="2:18" ht="15.75" x14ac:dyDescent="0.25">
      <c r="B23" s="5" t="s">
        <v>0</v>
      </c>
      <c r="C23" s="6" t="s">
        <v>1</v>
      </c>
      <c r="D23" s="6" t="s">
        <v>2</v>
      </c>
      <c r="E23" s="6" t="s">
        <v>206</v>
      </c>
      <c r="F23" s="6">
        <v>2012</v>
      </c>
      <c r="G23" s="6">
        <f>+F23+1</f>
        <v>2013</v>
      </c>
      <c r="H23" s="6">
        <f t="shared" ref="H23" si="2">+G23+1</f>
        <v>2014</v>
      </c>
      <c r="I23" s="7">
        <f t="shared" ref="I23" si="3">+H23+1</f>
        <v>2015</v>
      </c>
      <c r="J23" s="8">
        <f t="shared" ref="J23" si="4">+I23+1</f>
        <v>2016</v>
      </c>
      <c r="K23" s="6">
        <f t="shared" ref="K23" si="5">+J23+1</f>
        <v>2017</v>
      </c>
      <c r="L23" s="6">
        <f t="shared" ref="L23" si="6">+K23+1</f>
        <v>2018</v>
      </c>
      <c r="M23" s="6">
        <f t="shared" ref="M23" si="7">+L23+1</f>
        <v>2019</v>
      </c>
      <c r="N23" s="6">
        <f t="shared" ref="N23" si="8">+M23+1</f>
        <v>2020</v>
      </c>
      <c r="O23" s="6">
        <f t="shared" ref="O23" si="9">+N23+1</f>
        <v>2021</v>
      </c>
      <c r="P23" s="5">
        <f t="shared" ref="P23" si="10">+O23+1</f>
        <v>2022</v>
      </c>
    </row>
    <row r="24" spans="2:18" x14ac:dyDescent="0.25">
      <c r="C24" s="2"/>
      <c r="D24" s="291"/>
      <c r="E24" s="276" t="s">
        <v>207</v>
      </c>
      <c r="F24" s="2"/>
      <c r="G24" s="2"/>
      <c r="H24" s="2"/>
      <c r="I24" s="3"/>
      <c r="J24" s="4"/>
      <c r="K24" s="2"/>
      <c r="L24" s="2"/>
      <c r="M24" s="2"/>
      <c r="N24" s="2"/>
      <c r="O24" s="2"/>
    </row>
    <row r="25" spans="2:18" ht="15.75" x14ac:dyDescent="0.25">
      <c r="B25" s="52" t="s">
        <v>16</v>
      </c>
      <c r="C25" s="55" t="s">
        <v>17</v>
      </c>
      <c r="D25" s="623" t="s">
        <v>468</v>
      </c>
      <c r="E25" s="56" t="s">
        <v>208</v>
      </c>
      <c r="F25" s="56">
        <v>48</v>
      </c>
      <c r="G25" s="56">
        <v>50</v>
      </c>
      <c r="H25" s="56">
        <v>47</v>
      </c>
      <c r="I25" s="54">
        <v>47</v>
      </c>
      <c r="J25" s="270">
        <v>0</v>
      </c>
      <c r="K25" s="287">
        <v>20</v>
      </c>
      <c r="L25" s="287">
        <v>50</v>
      </c>
      <c r="M25" s="287">
        <v>50</v>
      </c>
      <c r="N25" s="287">
        <v>50</v>
      </c>
      <c r="O25" s="287">
        <v>50</v>
      </c>
      <c r="P25" s="288">
        <v>50</v>
      </c>
      <c r="R25" t="s">
        <v>204</v>
      </c>
    </row>
    <row r="26" spans="2:18" ht="15.75" x14ac:dyDescent="0.25">
      <c r="B26" s="33" t="s">
        <v>18</v>
      </c>
      <c r="C26" s="34" t="s">
        <v>17</v>
      </c>
      <c r="D26" s="35" t="s">
        <v>199</v>
      </c>
      <c r="E26" s="35" t="s">
        <v>208</v>
      </c>
      <c r="F26" s="35">
        <v>61</v>
      </c>
      <c r="G26" s="35">
        <v>71</v>
      </c>
      <c r="H26" s="35">
        <v>63</v>
      </c>
      <c r="I26" s="39">
        <v>64</v>
      </c>
      <c r="J26" s="269">
        <v>62</v>
      </c>
      <c r="K26" s="35">
        <v>64</v>
      </c>
      <c r="L26" s="35">
        <v>64</v>
      </c>
      <c r="M26" s="35">
        <v>64</v>
      </c>
      <c r="N26" s="35">
        <v>64</v>
      </c>
      <c r="O26" s="35">
        <v>64</v>
      </c>
      <c r="P26" s="38">
        <v>64</v>
      </c>
      <c r="R26" t="s">
        <v>232</v>
      </c>
    </row>
    <row r="27" spans="2:18" ht="15.75" x14ac:dyDescent="0.25">
      <c r="B27" s="33" t="s">
        <v>20</v>
      </c>
      <c r="C27" s="34" t="s">
        <v>21</v>
      </c>
      <c r="D27" s="35" t="s">
        <v>199</v>
      </c>
      <c r="E27" s="35" t="s">
        <v>208</v>
      </c>
      <c r="F27" s="35">
        <v>42</v>
      </c>
      <c r="G27" s="35">
        <v>55</v>
      </c>
      <c r="H27" s="35">
        <v>45</v>
      </c>
      <c r="I27" s="39">
        <v>45</v>
      </c>
      <c r="J27" s="40">
        <v>45</v>
      </c>
      <c r="K27" s="35">
        <v>45</v>
      </c>
      <c r="L27" s="35">
        <v>45</v>
      </c>
      <c r="M27" s="35">
        <v>45</v>
      </c>
      <c r="N27" s="35">
        <v>45</v>
      </c>
      <c r="O27" s="35">
        <v>45</v>
      </c>
      <c r="P27" s="38">
        <v>45</v>
      </c>
      <c r="R27" t="s">
        <v>231</v>
      </c>
    </row>
    <row r="28" spans="2:18" ht="15.75" x14ac:dyDescent="0.25">
      <c r="B28" s="27" t="s">
        <v>22</v>
      </c>
      <c r="C28" s="28" t="s">
        <v>234</v>
      </c>
      <c r="D28" s="29" t="s">
        <v>209</v>
      </c>
      <c r="E28" s="29" t="s">
        <v>208</v>
      </c>
      <c r="F28" s="29">
        <v>0</v>
      </c>
      <c r="G28" s="29">
        <v>0</v>
      </c>
      <c r="H28" s="29">
        <v>0</v>
      </c>
      <c r="I28" s="30">
        <v>0</v>
      </c>
      <c r="J28" s="31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32">
        <v>0</v>
      </c>
      <c r="R28" t="s">
        <v>235</v>
      </c>
    </row>
    <row r="29" spans="2:18" ht="15.75" x14ac:dyDescent="0.25">
      <c r="B29" s="33" t="s">
        <v>24</v>
      </c>
      <c r="C29" s="34" t="s">
        <v>25</v>
      </c>
      <c r="D29" s="35" t="s">
        <v>199</v>
      </c>
      <c r="E29" s="35" t="s">
        <v>19</v>
      </c>
      <c r="F29" s="35">
        <v>529</v>
      </c>
      <c r="G29" s="35">
        <v>551</v>
      </c>
      <c r="H29" s="35">
        <v>596</v>
      </c>
      <c r="I29" s="36">
        <v>567</v>
      </c>
      <c r="J29" s="269">
        <v>583</v>
      </c>
      <c r="K29" s="289">
        <v>555</v>
      </c>
      <c r="L29" s="289">
        <v>525</v>
      </c>
      <c r="M29" s="289">
        <v>512</v>
      </c>
      <c r="N29" s="289">
        <v>500</v>
      </c>
      <c r="O29" s="35">
        <v>491</v>
      </c>
      <c r="P29" s="38">
        <v>488</v>
      </c>
      <c r="R29" t="s">
        <v>203</v>
      </c>
    </row>
    <row r="30" spans="2:18" ht="15.75" x14ac:dyDescent="0.25">
      <c r="B30" s="33" t="s">
        <v>26</v>
      </c>
      <c r="C30" s="34" t="s">
        <v>25</v>
      </c>
      <c r="D30" s="35" t="s">
        <v>201</v>
      </c>
      <c r="E30" s="35" t="s">
        <v>208</v>
      </c>
      <c r="F30" s="35">
        <v>0</v>
      </c>
      <c r="G30" s="35">
        <v>0</v>
      </c>
      <c r="H30" s="35">
        <v>0</v>
      </c>
      <c r="I30" s="39">
        <v>31</v>
      </c>
      <c r="J30" s="269">
        <v>34.1</v>
      </c>
      <c r="K30" s="289">
        <v>37.5</v>
      </c>
      <c r="L30" s="35">
        <v>40</v>
      </c>
      <c r="M30" s="35">
        <v>40</v>
      </c>
      <c r="N30" s="35">
        <v>40</v>
      </c>
      <c r="O30" s="35">
        <v>10</v>
      </c>
      <c r="P30" s="38">
        <v>0</v>
      </c>
      <c r="R30" t="s">
        <v>202</v>
      </c>
    </row>
    <row r="31" spans="2:18" ht="15.75" x14ac:dyDescent="0.25">
      <c r="B31" s="33" t="s">
        <v>27</v>
      </c>
      <c r="C31" s="34" t="s">
        <v>28</v>
      </c>
      <c r="D31" s="35" t="s">
        <v>199</v>
      </c>
      <c r="E31" s="35" t="s">
        <v>208</v>
      </c>
      <c r="F31" s="35">
        <v>58</v>
      </c>
      <c r="G31" s="35">
        <v>43</v>
      </c>
      <c r="H31" s="35">
        <v>54</v>
      </c>
      <c r="I31" s="39">
        <v>56</v>
      </c>
      <c r="J31" s="269">
        <v>52.4</v>
      </c>
      <c r="K31" s="35">
        <v>55</v>
      </c>
      <c r="L31" s="35">
        <v>55</v>
      </c>
      <c r="M31" s="35">
        <v>55</v>
      </c>
      <c r="N31" s="35">
        <v>55</v>
      </c>
      <c r="O31" s="35">
        <v>55</v>
      </c>
      <c r="P31" s="38">
        <v>55</v>
      </c>
      <c r="R31" t="s">
        <v>205</v>
      </c>
    </row>
    <row r="32" spans="2:18" ht="16.5" thickBot="1" x14ac:dyDescent="0.3">
      <c r="B32" s="41" t="s">
        <v>29</v>
      </c>
      <c r="C32" s="28" t="s">
        <v>28</v>
      </c>
      <c r="D32" s="29" t="s">
        <v>199</v>
      </c>
      <c r="E32" s="29" t="s">
        <v>208</v>
      </c>
      <c r="F32" s="29">
        <v>0</v>
      </c>
      <c r="G32" s="29">
        <v>4</v>
      </c>
      <c r="H32" s="29">
        <v>7</v>
      </c>
      <c r="I32" s="30">
        <v>7</v>
      </c>
      <c r="J32" s="268">
        <v>9.8000000000000007</v>
      </c>
      <c r="K32" s="29">
        <v>7</v>
      </c>
      <c r="L32" s="29">
        <v>7</v>
      </c>
      <c r="M32" s="29">
        <v>7</v>
      </c>
      <c r="N32" s="29">
        <v>7</v>
      </c>
      <c r="O32" s="29">
        <v>7</v>
      </c>
      <c r="P32" s="32">
        <v>7</v>
      </c>
      <c r="R32" t="s">
        <v>233</v>
      </c>
    </row>
    <row r="33" spans="2:16" ht="15.75" x14ac:dyDescent="0.25">
      <c r="B33" s="50" t="s">
        <v>15</v>
      </c>
      <c r="C33" s="44"/>
      <c r="D33" s="292"/>
      <c r="E33" s="292"/>
      <c r="F33" s="47">
        <f t="shared" ref="F33:P33" si="11">SUM(F25:F32)</f>
        <v>738</v>
      </c>
      <c r="G33" s="47">
        <f t="shared" si="11"/>
        <v>774</v>
      </c>
      <c r="H33" s="47">
        <f t="shared" si="11"/>
        <v>812</v>
      </c>
      <c r="I33" s="48">
        <f t="shared" si="11"/>
        <v>817</v>
      </c>
      <c r="J33" s="49">
        <f t="shared" si="11"/>
        <v>786.3</v>
      </c>
      <c r="K33" s="47">
        <f t="shared" si="11"/>
        <v>783.5</v>
      </c>
      <c r="L33" s="47">
        <f t="shared" si="11"/>
        <v>786</v>
      </c>
      <c r="M33" s="47">
        <f t="shared" si="11"/>
        <v>773</v>
      </c>
      <c r="N33" s="47">
        <f t="shared" si="11"/>
        <v>761</v>
      </c>
      <c r="O33" s="47">
        <f t="shared" si="11"/>
        <v>722</v>
      </c>
      <c r="P33" s="48">
        <f t="shared" si="11"/>
        <v>709</v>
      </c>
    </row>
    <row r="34" spans="2:16" ht="15.75" x14ac:dyDescent="0.25">
      <c r="B34" s="27"/>
      <c r="C34" s="28"/>
      <c r="D34" s="29"/>
      <c r="E34" s="29"/>
      <c r="F34" s="28"/>
      <c r="G34" s="28"/>
      <c r="H34" s="28"/>
      <c r="I34" s="45"/>
      <c r="J34" s="46"/>
      <c r="K34" s="28"/>
      <c r="L34" s="28"/>
      <c r="M34" s="28"/>
      <c r="N34" s="28"/>
      <c r="O34" s="28"/>
      <c r="P34" s="45"/>
    </row>
    <row r="36" spans="2:16" ht="18.75" x14ac:dyDescent="0.3">
      <c r="B36" s="280" t="s">
        <v>211</v>
      </c>
    </row>
    <row r="38" spans="2:16" ht="15.75" x14ac:dyDescent="0.25">
      <c r="B38" t="s">
        <v>212</v>
      </c>
      <c r="C38" s="296">
        <v>51.6</v>
      </c>
      <c r="E38" s="11" t="s">
        <v>209</v>
      </c>
      <c r="F38" t="s">
        <v>249</v>
      </c>
    </row>
    <row r="39" spans="2:16" ht="15.75" x14ac:dyDescent="0.25">
      <c r="B39" t="s">
        <v>213</v>
      </c>
      <c r="C39" s="297">
        <v>49</v>
      </c>
      <c r="E39" s="11" t="s">
        <v>201</v>
      </c>
      <c r="F39" t="s">
        <v>292</v>
      </c>
    </row>
    <row r="40" spans="2:16" ht="15.75" x14ac:dyDescent="0.25">
      <c r="B40" t="s">
        <v>302</v>
      </c>
      <c r="C40" s="298">
        <v>36</v>
      </c>
    </row>
    <row r="42" spans="2:16" ht="15.75" x14ac:dyDescent="0.25">
      <c r="E42" s="6" t="s">
        <v>206</v>
      </c>
      <c r="F42" s="6">
        <v>2012</v>
      </c>
      <c r="G42" s="6">
        <f>+F42+1</f>
        <v>2013</v>
      </c>
      <c r="H42" s="6">
        <f t="shared" ref="H42:P42" si="12">+G42+1</f>
        <v>2014</v>
      </c>
      <c r="I42" s="7">
        <f t="shared" si="12"/>
        <v>2015</v>
      </c>
      <c r="J42" s="8">
        <f t="shared" si="12"/>
        <v>2016</v>
      </c>
      <c r="K42" s="6">
        <f t="shared" si="12"/>
        <v>2017</v>
      </c>
      <c r="L42" s="6">
        <f t="shared" si="12"/>
        <v>2018</v>
      </c>
      <c r="M42" s="6">
        <f t="shared" si="12"/>
        <v>2019</v>
      </c>
      <c r="N42" s="6">
        <f t="shared" si="12"/>
        <v>2020</v>
      </c>
      <c r="O42" s="6">
        <f t="shared" si="12"/>
        <v>2021</v>
      </c>
      <c r="P42" s="6">
        <f t="shared" si="12"/>
        <v>2022</v>
      </c>
    </row>
    <row r="43" spans="2:16" x14ac:dyDescent="0.25">
      <c r="E43" s="276" t="s">
        <v>207</v>
      </c>
      <c r="F43" s="2"/>
      <c r="G43" s="2"/>
      <c r="H43" s="2"/>
      <c r="I43" s="3"/>
      <c r="J43" s="4"/>
      <c r="K43" s="2"/>
      <c r="L43" s="2"/>
      <c r="M43" s="2"/>
      <c r="N43" s="2"/>
      <c r="O43" s="2"/>
      <c r="P43" s="338"/>
    </row>
    <row r="44" spans="2:16" ht="15.75" x14ac:dyDescent="0.25">
      <c r="E44" s="11" t="s">
        <v>208</v>
      </c>
      <c r="F44" s="293">
        <f>+F33-F45</f>
        <v>209</v>
      </c>
      <c r="G44" s="293">
        <f t="shared" ref="G44:P44" si="13">+G33-G45</f>
        <v>223</v>
      </c>
      <c r="H44" s="293">
        <f t="shared" si="13"/>
        <v>216</v>
      </c>
      <c r="I44" s="294">
        <f t="shared" si="13"/>
        <v>250</v>
      </c>
      <c r="J44" s="295">
        <f t="shared" si="13"/>
        <v>203.29999999999995</v>
      </c>
      <c r="K44" s="293">
        <f t="shared" si="13"/>
        <v>228.5</v>
      </c>
      <c r="L44" s="293">
        <f t="shared" si="13"/>
        <v>261</v>
      </c>
      <c r="M44" s="293">
        <f t="shared" si="13"/>
        <v>261</v>
      </c>
      <c r="N44" s="293">
        <f t="shared" si="13"/>
        <v>261</v>
      </c>
      <c r="O44" s="293">
        <f t="shared" si="13"/>
        <v>231</v>
      </c>
      <c r="P44" s="293">
        <f t="shared" si="13"/>
        <v>221</v>
      </c>
    </row>
    <row r="45" spans="2:16" ht="15.75" x14ac:dyDescent="0.25">
      <c r="E45" s="11" t="s">
        <v>19</v>
      </c>
      <c r="F45" s="293">
        <f>+F29</f>
        <v>529</v>
      </c>
      <c r="G45" s="293">
        <f t="shared" ref="G45:P45" si="14">+G29</f>
        <v>551</v>
      </c>
      <c r="H45" s="293">
        <f t="shared" si="14"/>
        <v>596</v>
      </c>
      <c r="I45" s="294">
        <f t="shared" si="14"/>
        <v>567</v>
      </c>
      <c r="J45" s="295">
        <f t="shared" si="14"/>
        <v>583</v>
      </c>
      <c r="K45" s="293">
        <f t="shared" si="14"/>
        <v>555</v>
      </c>
      <c r="L45" s="293">
        <f t="shared" si="14"/>
        <v>525</v>
      </c>
      <c r="M45" s="293">
        <f t="shared" si="14"/>
        <v>512</v>
      </c>
      <c r="N45" s="293">
        <f t="shared" si="14"/>
        <v>500</v>
      </c>
      <c r="O45" s="293">
        <f t="shared" si="14"/>
        <v>491</v>
      </c>
      <c r="P45" s="293">
        <f t="shared" si="14"/>
        <v>488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"/>
  <sheetViews>
    <sheetView workbookViewId="0"/>
  </sheetViews>
  <sheetFormatPr defaultRowHeight="15" x14ac:dyDescent="0.25"/>
  <cols>
    <col min="2" max="2" width="27" customWidth="1"/>
    <col min="3" max="3" width="15.5703125" customWidth="1"/>
    <col min="4" max="4" width="14" customWidth="1"/>
    <col min="5" max="5" width="13.140625" customWidth="1"/>
    <col min="18" max="18" width="65.5703125" customWidth="1"/>
  </cols>
  <sheetData>
    <row r="1" spans="2:16" ht="18.75" x14ac:dyDescent="0.3">
      <c r="B1" s="266" t="s">
        <v>552</v>
      </c>
      <c r="H1" s="266" t="s">
        <v>562</v>
      </c>
    </row>
    <row r="4" spans="2:16" ht="18.75" x14ac:dyDescent="0.3">
      <c r="B4" s="266" t="s">
        <v>248</v>
      </c>
    </row>
    <row r="6" spans="2:16" ht="15.75" x14ac:dyDescent="0.25">
      <c r="B6" s="5" t="s">
        <v>0</v>
      </c>
      <c r="C6" s="6" t="s">
        <v>1</v>
      </c>
      <c r="D6" s="6" t="s">
        <v>2</v>
      </c>
      <c r="E6" s="6" t="s">
        <v>206</v>
      </c>
      <c r="F6" s="6">
        <v>2012</v>
      </c>
      <c r="G6" s="6">
        <f>+F6+1</f>
        <v>2013</v>
      </c>
      <c r="H6" s="6">
        <f t="shared" ref="H6:P6" si="0">+G6+1</f>
        <v>2014</v>
      </c>
      <c r="I6" s="58">
        <f t="shared" si="0"/>
        <v>2015</v>
      </c>
      <c r="J6" s="63">
        <f t="shared" si="0"/>
        <v>2016</v>
      </c>
      <c r="K6" s="6">
        <f t="shared" si="0"/>
        <v>2017</v>
      </c>
      <c r="L6" s="6">
        <f t="shared" si="0"/>
        <v>2018</v>
      </c>
      <c r="M6" s="6">
        <f t="shared" si="0"/>
        <v>2019</v>
      </c>
      <c r="N6" s="6">
        <f t="shared" si="0"/>
        <v>2020</v>
      </c>
      <c r="O6" s="6">
        <f t="shared" si="0"/>
        <v>2021</v>
      </c>
      <c r="P6" s="5">
        <f t="shared" si="0"/>
        <v>2022</v>
      </c>
    </row>
    <row r="7" spans="2:16" x14ac:dyDescent="0.25">
      <c r="C7" s="2"/>
      <c r="D7" s="2"/>
      <c r="E7" s="276" t="s">
        <v>207</v>
      </c>
      <c r="F7" s="2"/>
      <c r="G7" s="2"/>
      <c r="H7" s="2"/>
      <c r="I7" s="59"/>
      <c r="J7" s="1"/>
      <c r="K7" s="2"/>
      <c r="L7" s="2"/>
      <c r="M7" s="2"/>
      <c r="N7" s="2"/>
      <c r="O7" s="2"/>
    </row>
    <row r="8" spans="2:16" ht="15.75" x14ac:dyDescent="0.25">
      <c r="B8" s="15" t="s">
        <v>236</v>
      </c>
      <c r="C8" s="16" t="s">
        <v>171</v>
      </c>
      <c r="D8" s="17" t="s">
        <v>201</v>
      </c>
      <c r="E8" s="17" t="s">
        <v>19</v>
      </c>
      <c r="F8" s="17">
        <v>677.3</v>
      </c>
      <c r="G8" s="17">
        <v>652.70000000000005</v>
      </c>
      <c r="H8" s="17">
        <v>640.79999999999995</v>
      </c>
      <c r="I8" s="20">
        <v>588.1</v>
      </c>
      <c r="J8" s="73">
        <v>136</v>
      </c>
      <c r="K8" s="17">
        <v>373</v>
      </c>
      <c r="L8" s="17">
        <v>118</v>
      </c>
      <c r="M8" s="17">
        <v>0</v>
      </c>
      <c r="N8" s="17">
        <v>0</v>
      </c>
      <c r="O8" s="17">
        <v>0</v>
      </c>
      <c r="P8" s="20">
        <v>0</v>
      </c>
    </row>
    <row r="9" spans="2:16" ht="15.75" x14ac:dyDescent="0.25">
      <c r="B9" s="62" t="s">
        <v>34</v>
      </c>
      <c r="C9" s="28" t="s">
        <v>171</v>
      </c>
      <c r="D9" s="29" t="s">
        <v>218</v>
      </c>
      <c r="E9" s="29" t="s">
        <v>208</v>
      </c>
      <c r="F9" s="29" t="s">
        <v>36</v>
      </c>
      <c r="G9" s="29" t="s">
        <v>36</v>
      </c>
      <c r="H9" s="29" t="s">
        <v>36</v>
      </c>
      <c r="I9" s="60" t="s">
        <v>36</v>
      </c>
      <c r="J9" s="64">
        <v>128</v>
      </c>
      <c r="K9" s="29">
        <v>167</v>
      </c>
      <c r="L9" s="29">
        <v>231</v>
      </c>
      <c r="M9" s="29">
        <v>295</v>
      </c>
      <c r="N9" s="29">
        <v>411</v>
      </c>
      <c r="O9" s="29">
        <v>449</v>
      </c>
      <c r="P9" s="60">
        <v>449</v>
      </c>
    </row>
    <row r="10" spans="2:16" ht="15.75" x14ac:dyDescent="0.25">
      <c r="B10" s="74" t="s">
        <v>33</v>
      </c>
      <c r="C10" s="75" t="s">
        <v>171</v>
      </c>
      <c r="D10" s="76" t="s">
        <v>201</v>
      </c>
      <c r="E10" s="76" t="s">
        <v>208</v>
      </c>
      <c r="F10" s="76"/>
      <c r="G10" s="76"/>
      <c r="H10" s="76" t="s">
        <v>36</v>
      </c>
      <c r="I10" s="77" t="s">
        <v>36</v>
      </c>
      <c r="J10" s="78">
        <v>110</v>
      </c>
      <c r="K10" s="76">
        <v>118</v>
      </c>
      <c r="L10" s="76">
        <v>118</v>
      </c>
      <c r="M10" s="76">
        <v>118</v>
      </c>
      <c r="N10" s="76">
        <v>110</v>
      </c>
      <c r="O10" s="76">
        <v>45</v>
      </c>
      <c r="P10" s="79">
        <v>0</v>
      </c>
    </row>
    <row r="11" spans="2:16" ht="15.75" x14ac:dyDescent="0.25">
      <c r="B11" s="71" t="s">
        <v>30</v>
      </c>
      <c r="C11" s="72" t="s">
        <v>171</v>
      </c>
      <c r="D11" s="29" t="s">
        <v>320</v>
      </c>
      <c r="E11" s="29" t="s">
        <v>208</v>
      </c>
      <c r="F11" s="67">
        <v>52.6</v>
      </c>
      <c r="G11" s="67">
        <v>53.6</v>
      </c>
      <c r="H11" s="67">
        <v>65.099999999999994</v>
      </c>
      <c r="I11" s="68">
        <v>91</v>
      </c>
      <c r="J11" s="69">
        <v>115</v>
      </c>
      <c r="K11" s="67">
        <v>123</v>
      </c>
      <c r="L11" s="67">
        <v>139</v>
      </c>
      <c r="M11" s="67">
        <v>157</v>
      </c>
      <c r="N11" s="67">
        <v>157</v>
      </c>
      <c r="O11" s="67">
        <v>157</v>
      </c>
      <c r="P11" s="70">
        <v>157</v>
      </c>
    </row>
    <row r="12" spans="2:16" ht="15.75" x14ac:dyDescent="0.25">
      <c r="B12" s="33" t="s">
        <v>31</v>
      </c>
      <c r="C12" s="34" t="s">
        <v>171</v>
      </c>
      <c r="D12" s="35" t="s">
        <v>199</v>
      </c>
      <c r="E12" s="35" t="s">
        <v>208</v>
      </c>
      <c r="F12" s="300">
        <v>25.2</v>
      </c>
      <c r="G12" s="300">
        <v>26.5</v>
      </c>
      <c r="H12" s="300">
        <v>25.4</v>
      </c>
      <c r="I12" s="301">
        <v>31.8</v>
      </c>
      <c r="J12" s="302">
        <v>31</v>
      </c>
      <c r="K12" s="300">
        <v>37</v>
      </c>
      <c r="L12" s="300">
        <v>41</v>
      </c>
      <c r="M12" s="300">
        <v>46</v>
      </c>
      <c r="N12" s="300">
        <v>46</v>
      </c>
      <c r="O12" s="300">
        <v>46</v>
      </c>
      <c r="P12" s="302">
        <v>46</v>
      </c>
    </row>
    <row r="13" spans="2:16" ht="16.5" thickBot="1" x14ac:dyDescent="0.3">
      <c r="B13" s="41" t="s">
        <v>32</v>
      </c>
      <c r="C13" s="28" t="s">
        <v>171</v>
      </c>
      <c r="D13" s="29" t="s">
        <v>199</v>
      </c>
      <c r="E13" s="29" t="s">
        <v>208</v>
      </c>
      <c r="F13" s="67">
        <v>9.6</v>
      </c>
      <c r="G13" s="67">
        <v>25.7</v>
      </c>
      <c r="H13" s="67">
        <v>27.4</v>
      </c>
      <c r="I13" s="68">
        <v>33.299999999999997</v>
      </c>
      <c r="J13" s="64">
        <v>36</v>
      </c>
      <c r="K13" s="29">
        <v>36</v>
      </c>
      <c r="L13" s="29">
        <v>36</v>
      </c>
      <c r="M13" s="29">
        <v>36</v>
      </c>
      <c r="N13" s="29">
        <v>36</v>
      </c>
      <c r="O13" s="29">
        <v>36</v>
      </c>
      <c r="P13" s="32">
        <v>36</v>
      </c>
    </row>
    <row r="14" spans="2:16" ht="15.75" x14ac:dyDescent="0.25">
      <c r="B14" s="50" t="s">
        <v>15</v>
      </c>
      <c r="C14" s="44"/>
      <c r="D14" s="44"/>
      <c r="E14" s="44"/>
      <c r="F14" s="47">
        <f t="shared" ref="F14:P14" si="1">SUM(F8:F13)</f>
        <v>764.7</v>
      </c>
      <c r="G14" s="47">
        <f t="shared" si="1"/>
        <v>758.50000000000011</v>
      </c>
      <c r="H14" s="47">
        <f t="shared" si="1"/>
        <v>758.69999999999993</v>
      </c>
      <c r="I14" s="61">
        <f t="shared" si="1"/>
        <v>744.19999999999993</v>
      </c>
      <c r="J14" s="65">
        <f t="shared" si="1"/>
        <v>556</v>
      </c>
      <c r="K14" s="47">
        <f t="shared" si="1"/>
        <v>854</v>
      </c>
      <c r="L14" s="47">
        <f t="shared" si="1"/>
        <v>683</v>
      </c>
      <c r="M14" s="47">
        <f t="shared" si="1"/>
        <v>652</v>
      </c>
      <c r="N14" s="47">
        <f t="shared" si="1"/>
        <v>760</v>
      </c>
      <c r="O14" s="47">
        <f t="shared" si="1"/>
        <v>733</v>
      </c>
      <c r="P14" s="61">
        <f t="shared" si="1"/>
        <v>688</v>
      </c>
    </row>
    <row r="15" spans="2:16" ht="15.75" x14ac:dyDescent="0.25">
      <c r="B15" s="27"/>
      <c r="C15" s="28"/>
      <c r="D15" s="28"/>
      <c r="E15" s="28"/>
      <c r="F15" s="28"/>
      <c r="G15" s="28"/>
      <c r="H15" s="28"/>
      <c r="I15" s="62"/>
      <c r="J15" s="66"/>
      <c r="K15" s="28"/>
      <c r="L15" s="28"/>
      <c r="M15" s="28"/>
      <c r="N15" s="28"/>
      <c r="O15" s="28"/>
      <c r="P15" s="62"/>
    </row>
    <row r="16" spans="2:16" ht="15.75" x14ac:dyDescent="0.25">
      <c r="B16" s="27" t="s">
        <v>237</v>
      </c>
    </row>
    <row r="17" spans="2:18" x14ac:dyDescent="0.25">
      <c r="B17" t="s">
        <v>96</v>
      </c>
    </row>
    <row r="20" spans="2:18" ht="18.75" x14ac:dyDescent="0.3">
      <c r="R20" s="280" t="s">
        <v>214</v>
      </c>
    </row>
    <row r="21" spans="2:18" ht="18.75" x14ac:dyDescent="0.3">
      <c r="B21" s="266" t="s">
        <v>210</v>
      </c>
    </row>
    <row r="23" spans="2:18" ht="15.75" x14ac:dyDescent="0.25">
      <c r="B23" s="5" t="s">
        <v>0</v>
      </c>
      <c r="C23" s="6" t="s">
        <v>1</v>
      </c>
      <c r="D23" s="6" t="s">
        <v>2</v>
      </c>
      <c r="E23" s="6" t="s">
        <v>206</v>
      </c>
      <c r="F23" s="6">
        <v>2012</v>
      </c>
      <c r="G23" s="6">
        <f>+F23+1</f>
        <v>2013</v>
      </c>
      <c r="H23" s="6">
        <f t="shared" ref="H23" si="2">+G23+1</f>
        <v>2014</v>
      </c>
      <c r="I23" s="58">
        <f t="shared" ref="I23" si="3">+H23+1</f>
        <v>2015</v>
      </c>
      <c r="J23" s="63">
        <f t="shared" ref="J23" si="4">+I23+1</f>
        <v>2016</v>
      </c>
      <c r="K23" s="6">
        <f t="shared" ref="K23" si="5">+J23+1</f>
        <v>2017</v>
      </c>
      <c r="L23" s="6">
        <f t="shared" ref="L23" si="6">+K23+1</f>
        <v>2018</v>
      </c>
      <c r="M23" s="6">
        <f t="shared" ref="M23" si="7">+L23+1</f>
        <v>2019</v>
      </c>
      <c r="N23" s="6">
        <f t="shared" ref="N23" si="8">+M23+1</f>
        <v>2020</v>
      </c>
      <c r="O23" s="6">
        <f t="shared" ref="O23" si="9">+N23+1</f>
        <v>2021</v>
      </c>
      <c r="P23" s="5">
        <f t="shared" ref="P23" si="10">+O23+1</f>
        <v>2022</v>
      </c>
      <c r="R23" t="s">
        <v>238</v>
      </c>
    </row>
    <row r="24" spans="2:18" x14ac:dyDescent="0.25">
      <c r="C24" s="2"/>
      <c r="D24" s="2"/>
      <c r="E24" s="276" t="s">
        <v>207</v>
      </c>
      <c r="F24" s="2"/>
      <c r="G24" s="2"/>
      <c r="H24" s="2"/>
      <c r="I24" s="59"/>
      <c r="J24" s="1"/>
      <c r="K24" s="2"/>
      <c r="L24" s="2"/>
      <c r="M24" s="2"/>
      <c r="N24" s="2"/>
      <c r="O24" s="2"/>
      <c r="R24" t="s">
        <v>239</v>
      </c>
    </row>
    <row r="25" spans="2:18" ht="15.75" x14ac:dyDescent="0.25">
      <c r="B25" s="15" t="s">
        <v>35</v>
      </c>
      <c r="C25" s="16" t="s">
        <v>171</v>
      </c>
      <c r="D25" s="17" t="s">
        <v>201</v>
      </c>
      <c r="E25" s="17" t="s">
        <v>19</v>
      </c>
      <c r="F25" s="17">
        <v>677.3</v>
      </c>
      <c r="G25" s="17">
        <v>652.70000000000005</v>
      </c>
      <c r="H25" s="17">
        <v>640.79999999999995</v>
      </c>
      <c r="I25" s="20">
        <v>588.1</v>
      </c>
      <c r="J25" s="73">
        <v>136</v>
      </c>
      <c r="K25" s="17">
        <v>373</v>
      </c>
      <c r="L25" s="17">
        <v>118</v>
      </c>
      <c r="M25" s="17">
        <v>0</v>
      </c>
      <c r="N25" s="17">
        <v>0</v>
      </c>
      <c r="O25" s="17">
        <v>0</v>
      </c>
      <c r="P25" s="20">
        <v>0</v>
      </c>
      <c r="R25" t="s">
        <v>240</v>
      </c>
    </row>
    <row r="26" spans="2:18" ht="15.75" x14ac:dyDescent="0.25">
      <c r="B26" s="62" t="s">
        <v>34</v>
      </c>
      <c r="C26" s="28" t="s">
        <v>171</v>
      </c>
      <c r="D26" s="29" t="s">
        <v>218</v>
      </c>
      <c r="E26" s="29" t="s">
        <v>208</v>
      </c>
      <c r="F26" s="29" t="s">
        <v>36</v>
      </c>
      <c r="G26" s="29" t="s">
        <v>36</v>
      </c>
      <c r="H26" s="29" t="s">
        <v>36</v>
      </c>
      <c r="I26" s="60" t="s">
        <v>36</v>
      </c>
      <c r="J26" s="64">
        <v>128</v>
      </c>
      <c r="K26" s="29">
        <v>167</v>
      </c>
      <c r="L26" s="29">
        <v>231</v>
      </c>
      <c r="M26" s="29">
        <v>295</v>
      </c>
      <c r="N26" s="29">
        <v>411</v>
      </c>
      <c r="O26" s="29">
        <v>449</v>
      </c>
      <c r="P26" s="60">
        <v>449</v>
      </c>
      <c r="R26" t="s">
        <v>241</v>
      </c>
    </row>
    <row r="27" spans="2:18" ht="15.75" x14ac:dyDescent="0.25">
      <c r="B27" s="74" t="s">
        <v>33</v>
      </c>
      <c r="C27" s="75" t="s">
        <v>171</v>
      </c>
      <c r="D27" s="76" t="s">
        <v>201</v>
      </c>
      <c r="E27" s="76" t="s">
        <v>208</v>
      </c>
      <c r="F27" s="76"/>
      <c r="G27" s="76"/>
      <c r="H27" s="76" t="s">
        <v>36</v>
      </c>
      <c r="I27" s="77" t="s">
        <v>36</v>
      </c>
      <c r="J27" s="78">
        <v>110</v>
      </c>
      <c r="K27" s="76">
        <v>118</v>
      </c>
      <c r="L27" s="76">
        <v>118</v>
      </c>
      <c r="M27" s="76">
        <v>118</v>
      </c>
      <c r="N27" s="76">
        <v>110</v>
      </c>
      <c r="O27" s="76">
        <v>45</v>
      </c>
      <c r="P27" s="79">
        <v>0</v>
      </c>
      <c r="R27" t="s">
        <v>242</v>
      </c>
    </row>
    <row r="28" spans="2:18" ht="15.75" x14ac:dyDescent="0.25">
      <c r="B28" s="71" t="s">
        <v>30</v>
      </c>
      <c r="C28" s="72" t="s">
        <v>171</v>
      </c>
      <c r="D28" s="299" t="s">
        <v>320</v>
      </c>
      <c r="E28" s="29" t="s">
        <v>208</v>
      </c>
      <c r="F28" s="67">
        <v>52.6</v>
      </c>
      <c r="G28" s="67">
        <v>53.6</v>
      </c>
      <c r="H28" s="67">
        <v>65.099999999999994</v>
      </c>
      <c r="I28" s="68">
        <v>91</v>
      </c>
      <c r="J28" s="69">
        <v>115</v>
      </c>
      <c r="K28" s="67">
        <v>123</v>
      </c>
      <c r="L28" s="67">
        <v>139</v>
      </c>
      <c r="M28" s="67">
        <v>157</v>
      </c>
      <c r="N28" s="67">
        <v>157</v>
      </c>
      <c r="O28" s="67">
        <v>157</v>
      </c>
      <c r="P28" s="70">
        <v>157</v>
      </c>
      <c r="R28" t="s">
        <v>243</v>
      </c>
    </row>
    <row r="29" spans="2:18" ht="15.75" x14ac:dyDescent="0.25">
      <c r="B29" s="33" t="s">
        <v>31</v>
      </c>
      <c r="C29" s="34" t="s">
        <v>171</v>
      </c>
      <c r="D29" s="35" t="s">
        <v>199</v>
      </c>
      <c r="E29" s="11" t="s">
        <v>208</v>
      </c>
      <c r="F29" s="303">
        <v>25.2</v>
      </c>
      <c r="G29" s="303">
        <v>26.5</v>
      </c>
      <c r="H29" s="303">
        <v>25.4</v>
      </c>
      <c r="I29" s="304">
        <v>31.8</v>
      </c>
      <c r="J29" s="305">
        <v>31</v>
      </c>
      <c r="K29" s="303">
        <v>37</v>
      </c>
      <c r="L29" s="303">
        <v>41</v>
      </c>
      <c r="M29" s="303">
        <v>46</v>
      </c>
      <c r="N29" s="303">
        <v>46</v>
      </c>
      <c r="O29" s="303">
        <v>46</v>
      </c>
      <c r="P29" s="305">
        <v>46</v>
      </c>
      <c r="R29" t="s">
        <v>244</v>
      </c>
    </row>
    <row r="30" spans="2:18" ht="16.5" thickBot="1" x14ac:dyDescent="0.3">
      <c r="B30" s="41" t="s">
        <v>32</v>
      </c>
      <c r="C30" s="28" t="s">
        <v>171</v>
      </c>
      <c r="D30" s="29" t="s">
        <v>199</v>
      </c>
      <c r="E30" s="29" t="s">
        <v>208</v>
      </c>
      <c r="F30" s="67">
        <v>9.6</v>
      </c>
      <c r="G30" s="67">
        <v>25.7</v>
      </c>
      <c r="H30" s="67">
        <v>27.4</v>
      </c>
      <c r="I30" s="68">
        <v>33.299999999999997</v>
      </c>
      <c r="J30" s="64">
        <v>36</v>
      </c>
      <c r="K30" s="29">
        <v>36</v>
      </c>
      <c r="L30" s="29">
        <v>36</v>
      </c>
      <c r="M30" s="29">
        <v>36</v>
      </c>
      <c r="N30" s="29">
        <v>36</v>
      </c>
      <c r="O30" s="29">
        <v>36</v>
      </c>
      <c r="P30" s="32">
        <v>36</v>
      </c>
      <c r="R30" t="s">
        <v>251</v>
      </c>
    </row>
    <row r="31" spans="2:18" ht="15.75" x14ac:dyDescent="0.25">
      <c r="B31" s="50" t="s">
        <v>15</v>
      </c>
      <c r="C31" s="44"/>
      <c r="D31" s="44"/>
      <c r="E31" s="44"/>
      <c r="F31" s="47">
        <f t="shared" ref="F31:P31" si="11">SUM(F25:F30)</f>
        <v>764.7</v>
      </c>
      <c r="G31" s="47">
        <f t="shared" si="11"/>
        <v>758.50000000000011</v>
      </c>
      <c r="H31" s="47">
        <f t="shared" si="11"/>
        <v>758.69999999999993</v>
      </c>
      <c r="I31" s="61">
        <f t="shared" si="11"/>
        <v>744.19999999999993</v>
      </c>
      <c r="J31" s="65">
        <f t="shared" si="11"/>
        <v>556</v>
      </c>
      <c r="K31" s="47">
        <f t="shared" si="11"/>
        <v>854</v>
      </c>
      <c r="L31" s="47">
        <f t="shared" si="11"/>
        <v>683</v>
      </c>
      <c r="M31" s="47">
        <f t="shared" si="11"/>
        <v>652</v>
      </c>
      <c r="N31" s="47">
        <f t="shared" si="11"/>
        <v>760</v>
      </c>
      <c r="O31" s="47">
        <f t="shared" si="11"/>
        <v>733</v>
      </c>
      <c r="P31" s="61">
        <f t="shared" si="11"/>
        <v>688</v>
      </c>
      <c r="R31" t="s">
        <v>245</v>
      </c>
    </row>
    <row r="32" spans="2:18" ht="15.75" x14ac:dyDescent="0.25">
      <c r="B32" s="27"/>
      <c r="C32" s="28"/>
      <c r="D32" s="28"/>
      <c r="E32" s="28"/>
      <c r="F32" s="28"/>
      <c r="G32" s="28"/>
      <c r="H32" s="28"/>
      <c r="I32" s="62"/>
      <c r="J32" s="66"/>
      <c r="K32" s="28"/>
      <c r="L32" s="28"/>
      <c r="M32" s="28"/>
      <c r="N32" s="28"/>
      <c r="O32" s="28"/>
      <c r="P32" s="62"/>
      <c r="R32" t="s">
        <v>246</v>
      </c>
    </row>
    <row r="33" spans="2:18" x14ac:dyDescent="0.25">
      <c r="R33" t="s">
        <v>247</v>
      </c>
    </row>
    <row r="34" spans="2:18" ht="18.75" x14ac:dyDescent="0.3">
      <c r="B34" s="280" t="s">
        <v>211</v>
      </c>
      <c r="D34" s="166"/>
      <c r="E34" s="166"/>
    </row>
    <row r="35" spans="2:18" x14ac:dyDescent="0.25">
      <c r="D35" s="166"/>
      <c r="E35" s="166"/>
      <c r="R35" t="s">
        <v>578</v>
      </c>
    </row>
    <row r="36" spans="2:18" ht="15.75" x14ac:dyDescent="0.25">
      <c r="B36" t="s">
        <v>212</v>
      </c>
      <c r="C36" s="296">
        <v>51.6</v>
      </c>
      <c r="D36" s="166"/>
      <c r="E36" s="11" t="s">
        <v>209</v>
      </c>
      <c r="F36" t="s">
        <v>249</v>
      </c>
      <c r="R36" t="s">
        <v>412</v>
      </c>
    </row>
    <row r="37" spans="2:18" ht="15.75" x14ac:dyDescent="0.25">
      <c r="B37" t="s">
        <v>213</v>
      </c>
      <c r="C37" s="297">
        <v>49</v>
      </c>
      <c r="D37" s="166"/>
      <c r="E37" s="11" t="s">
        <v>201</v>
      </c>
      <c r="F37" t="s">
        <v>292</v>
      </c>
      <c r="R37" t="s">
        <v>413</v>
      </c>
    </row>
    <row r="38" spans="2:18" ht="15.75" x14ac:dyDescent="0.25">
      <c r="B38" t="s">
        <v>302</v>
      </c>
      <c r="C38" s="298">
        <v>36</v>
      </c>
      <c r="D38" s="166"/>
      <c r="E38" s="166"/>
      <c r="R38" t="s">
        <v>414</v>
      </c>
    </row>
    <row r="39" spans="2:18" x14ac:dyDescent="0.25">
      <c r="D39" s="166"/>
      <c r="E39" s="166"/>
      <c r="R39" t="s">
        <v>416</v>
      </c>
    </row>
    <row r="40" spans="2:18" ht="15.75" x14ac:dyDescent="0.25">
      <c r="D40" s="166"/>
      <c r="E40" s="6" t="s">
        <v>206</v>
      </c>
      <c r="F40" s="6">
        <v>2012</v>
      </c>
      <c r="G40" s="6">
        <f>+F40+1</f>
        <v>2013</v>
      </c>
      <c r="H40" s="6">
        <f t="shared" ref="H40:P40" si="12">+G40+1</f>
        <v>2014</v>
      </c>
      <c r="I40" s="7">
        <f t="shared" si="12"/>
        <v>2015</v>
      </c>
      <c r="J40" s="8">
        <f t="shared" si="12"/>
        <v>2016</v>
      </c>
      <c r="K40" s="6">
        <f t="shared" si="12"/>
        <v>2017</v>
      </c>
      <c r="L40" s="6">
        <f t="shared" si="12"/>
        <v>2018</v>
      </c>
      <c r="M40" s="6">
        <f t="shared" si="12"/>
        <v>2019</v>
      </c>
      <c r="N40" s="6">
        <f t="shared" si="12"/>
        <v>2020</v>
      </c>
      <c r="O40" s="6">
        <f t="shared" si="12"/>
        <v>2021</v>
      </c>
      <c r="P40" s="6">
        <f t="shared" si="12"/>
        <v>2022</v>
      </c>
      <c r="R40" t="s">
        <v>529</v>
      </c>
    </row>
    <row r="41" spans="2:18" x14ac:dyDescent="0.25">
      <c r="D41" s="166"/>
      <c r="E41" s="276" t="s">
        <v>207</v>
      </c>
      <c r="F41" s="2"/>
      <c r="G41" s="2"/>
      <c r="H41" s="2"/>
      <c r="I41" s="3"/>
      <c r="J41" s="4"/>
      <c r="K41" s="2"/>
      <c r="L41" s="2"/>
      <c r="M41" s="2"/>
      <c r="N41" s="2"/>
      <c r="O41" s="2"/>
      <c r="P41" s="2"/>
      <c r="R41" t="s">
        <v>530</v>
      </c>
    </row>
    <row r="42" spans="2:18" ht="15.75" x14ac:dyDescent="0.25">
      <c r="D42" s="166"/>
      <c r="E42" s="11" t="s">
        <v>208</v>
      </c>
      <c r="F42" s="293">
        <f>+F31-F43</f>
        <v>87.400000000000091</v>
      </c>
      <c r="G42" s="293">
        <f t="shared" ref="G42:P42" si="13">+G31-G43</f>
        <v>105.80000000000007</v>
      </c>
      <c r="H42" s="293">
        <f t="shared" si="13"/>
        <v>117.89999999999998</v>
      </c>
      <c r="I42" s="294">
        <f t="shared" si="13"/>
        <v>156.09999999999991</v>
      </c>
      <c r="J42" s="295">
        <f t="shared" si="13"/>
        <v>420</v>
      </c>
      <c r="K42" s="293">
        <f t="shared" si="13"/>
        <v>481</v>
      </c>
      <c r="L42" s="293">
        <f t="shared" si="13"/>
        <v>565</v>
      </c>
      <c r="M42" s="293">
        <f t="shared" si="13"/>
        <v>652</v>
      </c>
      <c r="N42" s="293">
        <f t="shared" si="13"/>
        <v>760</v>
      </c>
      <c r="O42" s="293">
        <f t="shared" si="13"/>
        <v>733</v>
      </c>
      <c r="P42" s="293">
        <f t="shared" si="13"/>
        <v>688</v>
      </c>
    </row>
    <row r="43" spans="2:18" ht="15.75" x14ac:dyDescent="0.25">
      <c r="D43" s="166"/>
      <c r="E43" s="11" t="s">
        <v>19</v>
      </c>
      <c r="F43" s="293">
        <f>+F25</f>
        <v>677.3</v>
      </c>
      <c r="G43" s="293">
        <f t="shared" ref="G43:P43" si="14">+G25</f>
        <v>652.70000000000005</v>
      </c>
      <c r="H43" s="293">
        <f t="shared" si="14"/>
        <v>640.79999999999995</v>
      </c>
      <c r="I43" s="294">
        <f t="shared" si="14"/>
        <v>588.1</v>
      </c>
      <c r="J43" s="295">
        <f t="shared" si="14"/>
        <v>136</v>
      </c>
      <c r="K43" s="293">
        <f t="shared" si="14"/>
        <v>373</v>
      </c>
      <c r="L43" s="293">
        <f t="shared" si="14"/>
        <v>118</v>
      </c>
      <c r="M43" s="293">
        <f t="shared" si="14"/>
        <v>0</v>
      </c>
      <c r="N43" s="293">
        <f t="shared" si="14"/>
        <v>0</v>
      </c>
      <c r="O43" s="293">
        <f t="shared" si="14"/>
        <v>0</v>
      </c>
      <c r="P43" s="293">
        <f t="shared" si="1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Disclaimer</vt:lpstr>
      <vt:lpstr>Summary</vt:lpstr>
      <vt:lpstr>Closed or Closing In 7 Years</vt:lpstr>
      <vt:lpstr>Mines on Standby</vt:lpstr>
      <vt:lpstr>Expansions and Re-starts</vt:lpstr>
      <vt:lpstr>Construction and Ramp Ups</vt:lpstr>
      <vt:lpstr>Canada</vt:lpstr>
      <vt:lpstr>USA</vt:lpstr>
      <vt:lpstr>India</vt:lpstr>
      <vt:lpstr>Australia</vt:lpstr>
      <vt:lpstr>Peru</vt:lpstr>
      <vt:lpstr>Europe</vt:lpstr>
      <vt:lpstr>Mexico</vt:lpstr>
      <vt:lpstr>Africa</vt:lpstr>
      <vt:lpstr>Kazahkstan</vt:lpstr>
      <vt:lpstr>S and C America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Beattie</dc:creator>
  <cp:lastModifiedBy>Doug Beattie</cp:lastModifiedBy>
  <dcterms:created xsi:type="dcterms:W3CDTF">2016-12-01T16:23:12Z</dcterms:created>
  <dcterms:modified xsi:type="dcterms:W3CDTF">2017-03-23T04:47:06Z</dcterms:modified>
</cp:coreProperties>
</file>